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codeName="ThisWorkbook" defaultThemeVersion="166925"/>
  <mc:AlternateContent xmlns:mc="http://schemas.openxmlformats.org/markup-compatibility/2006">
    <mc:Choice Requires="x15">
      <x15ac:absPath xmlns:x15ac="http://schemas.microsoft.com/office/spreadsheetml/2010/11/ac" url="C:\Users\Prysus\Desktop\LTF\website\Site\downloads\"/>
    </mc:Choice>
  </mc:AlternateContent>
  <xr:revisionPtr revIDLastSave="0" documentId="13_ncr:1_{953F9E18-42F0-4D71-90D1-022953A652EB}" xr6:coauthVersionLast="38" xr6:coauthVersionMax="38" xr10:uidLastSave="{00000000-0000-0000-0000-000000000000}"/>
  <bookViews>
    <workbookView xWindow="0" yWindow="0" windowWidth="19140" windowHeight="6150" activeTab="1" xr2:uid="{00000000-000D-0000-FFFF-FFFF00000000}"/>
  </bookViews>
  <sheets>
    <sheet name="Instructions" sheetId="7" r:id="rId1"/>
    <sheet name="Character Sheet" sheetId="1" r:id="rId2"/>
    <sheet name="Worktable" sheetId="4" r:id="rId3"/>
    <sheet name="Skills Worktable" sheetId="3" r:id="rId4"/>
    <sheet name="Magic &amp; Psionics" sheetId="6" r:id="rId5"/>
    <sheet name="Combat Sheet" sheetId="9" r:id="rId6"/>
    <sheet name="Experience Chart" sheetId="5" r:id="rId7"/>
    <sheet name="Editor's Notes" sheetId="2" r:id="rId8"/>
    <sheet name="Combat" sheetId="10" state="hidden" r:id="rId9"/>
  </sheets>
  <externalReferences>
    <externalReference r:id="rId10"/>
  </externalReferences>
  <definedNames>
    <definedName name="archery">Combat!$A$83:$H$97</definedName>
    <definedName name="armor_select">Combat!$N$27:$Q$44</definedName>
    <definedName name="battle_axe">Combat!$A$98:$H$112</definedName>
    <definedName name="blunt">Combat!$A$113:$H$127</definedName>
    <definedName name="calc_lev">'Experience Chart'!$C$19</definedName>
    <definedName name="chain">Combat!$A$128:$H$142</definedName>
    <definedName name="char_level">'Experience Chart'!$B$19</definedName>
    <definedName name="char_xp">'Character Sheet'!$F$7</definedName>
    <definedName name="crit">Worktable!$C$12</definedName>
    <definedName name="db">Worktable!$K$12</definedName>
    <definedName name="die_type">Combat!$W$29:$W$35</definedName>
    <definedName name="excel_carry">Worktable!$K$50</definedName>
    <definedName name="forked">Combat!$A$143:$H$157</definedName>
    <definedName name="giant_throw">Worktable!$K$57</definedName>
    <definedName name="hf">Worktable!$H$11</definedName>
    <definedName name="hook">Combat!$A$158:$H$172</definedName>
    <definedName name="hth">Worktable!$C$11</definedName>
    <definedName name="hth_assassin">Combat!$E$1</definedName>
    <definedName name="hth_basic">Combat!$B$1</definedName>
    <definedName name="hth_bonus">Combat!$A$3:$L$78</definedName>
    <definedName name="hth_expert">Combat!$C$1</definedName>
    <definedName name="hth_list">Combat!$A$1:$E$1</definedName>
    <definedName name="hth_ma">Combat!$D$1</definedName>
    <definedName name="hth_none">Combat!$A$1</definedName>
    <definedName name="knife">Combat!$A$173:$H$187</definedName>
    <definedName name="ko">Worktable!$H$12</definedName>
    <definedName name="left_parry">Worktable!#REF!</definedName>
    <definedName name="left_strike">Worktable!#REF!</definedName>
    <definedName name="missile">Combat!$A$308:$H$322</definedName>
    <definedName name="mouth">Combat!$A$188:$H$202</definedName>
    <definedName name="nar">Worktable!$K$11</definedName>
    <definedName name="net">Combat!$A$203:$H$217</definedName>
    <definedName name="norm_punch">Combat!$AA$3:$AE$19</definedName>
    <definedName name="norm_throw">Worktable!$K$56</definedName>
    <definedName name="percent">Worktable!$K$70</definedName>
    <definedName name="plus">Worktable!$K$69</definedName>
    <definedName name="pole_arm">Combat!$A$218:$H$232</definedName>
    <definedName name="pounds">Worktable!$K$71</definedName>
    <definedName name="ps_giant">Worktable!$J$53</definedName>
    <definedName name="ps_normal">Worktable!$J$52</definedName>
    <definedName name="ps_supernatural">Worktable!$J$54</definedName>
    <definedName name="ps_type">Worktable!$J$49</definedName>
    <definedName name="right_parry" localSheetId="8">'[1]C1-WT'!#REF!</definedName>
    <definedName name="right_parry">Worktable!#REF!</definedName>
    <definedName name="right_strike">Worktable!#REF!</definedName>
    <definedName name="save_coma">Worktable!$H$27</definedName>
    <definedName name="save_control">Worktable!$H$38</definedName>
    <definedName name="save_disease">Worktable!$H$33</definedName>
    <definedName name="save_element">Worktable!$H$35</definedName>
    <definedName name="save_f_mag">Worktable!$H$31</definedName>
    <definedName name="save_faerie">Worktable!$H$31</definedName>
    <definedName name="save_hf">Worktable!$H$34</definedName>
    <definedName name="save_illusion">Worktable!$H$36</definedName>
    <definedName name="save_insane">Worktable!$H$29</definedName>
    <definedName name="save_magic">Worktable!$H$30</definedName>
    <definedName name="save_poison">Worktable!$H$32</definedName>
    <definedName name="save_possess">Worktable!$H$37</definedName>
    <definedName name="save_psi">Worktable!$H$28</definedName>
    <definedName name="shield">Combat!$A$233:$H$247</definedName>
    <definedName name="sn_ps_punch">Combat!$AO$3:$AS$10</definedName>
    <definedName name="sn_punch_chart">Combat!$AM$2:$AM$4</definedName>
    <definedName name="spear">Combat!$A$263:$H$277</definedName>
    <definedName name="staff">Combat!$A$278:$H$292</definedName>
    <definedName name="super_throw">Worktable!$K$58</definedName>
    <definedName name="sword">Combat!$A$293:$H$307</definedName>
    <definedName name="total_attack">Worktable!$H$15</definedName>
    <definedName name="total_attacks">Worktable!$H$15</definedName>
    <definedName name="total_damage">Worktable!$H$22</definedName>
    <definedName name="total_dodge">Worktable!$H$19</definedName>
    <definedName name="total_hp">Worktable!$K$32</definedName>
    <definedName name="total_init">Worktable!$H$16</definedName>
    <definedName name="total_initiative">Worktable!$H$16</definedName>
    <definedName name="total_iq">Worktable!$G$2</definedName>
    <definedName name="total_isp">Worktable!$H$49</definedName>
    <definedName name="total_ma">Worktable!$G$4</definedName>
    <definedName name="total_me">Worktable!$G$3</definedName>
    <definedName name="total_parry">Worktable!$H$18</definedName>
    <definedName name="total_pb">Worktable!$G$8</definedName>
    <definedName name="total_pe">Worktable!$G$7</definedName>
    <definedName name="total_pp">Worktable!$G$6</definedName>
    <definedName name="total_ppe">Worktable!$H$46</definedName>
    <definedName name="total_ps">Worktable!$G$5</definedName>
    <definedName name="total_pull">Worktable!$H$21</definedName>
    <definedName name="total_roll">Worktable!$H$20</definedName>
    <definedName name="total_sdc">Worktable!$H$23</definedName>
    <definedName name="total_spd">Worktable!$G$9</definedName>
    <definedName name="total_strike">Worktable!$H$17</definedName>
    <definedName name="true_alt">Combat!$O$55:$X$59</definedName>
    <definedName name="true_armor">Combat!$N$49:$R$51</definedName>
    <definedName name="true_weapons">Combat!$N$55:$X$59</definedName>
    <definedName name="true_wp">'Combat Sheet'!$C$26:$T$30</definedName>
    <definedName name="unarmed_damage">Combat!$AA$3:$AF$20</definedName>
    <definedName name="weapon_bonus">Combat!$X$29:$X$37</definedName>
    <definedName name="weapon_ref">Combat!$N$2:$Y$25</definedName>
    <definedName name="whip">Combat!$A$323:$H$337</definedName>
    <definedName name="wp_archery">Combat!$A$80</definedName>
    <definedName name="wp_axe">Combat!$B$80</definedName>
    <definedName name="wp_blunt">Combat!$C$80</definedName>
    <definedName name="wp_bonus">Combat!$A$82:$H$337</definedName>
    <definedName name="wp_chain">Combat!$D$80</definedName>
    <definedName name="wp_forked">Combat!$E$80</definedName>
    <definedName name="wp_hook">Combat!$F$80</definedName>
    <definedName name="wp_knife">Combat!$G$80</definedName>
    <definedName name="wp_list">Combat!$A$80:$R$80</definedName>
    <definedName name="wp_mouth">Combat!$H$80</definedName>
    <definedName name="wp_net">Combat!$I$80</definedName>
    <definedName name="wp_paired">Combat!$J$80</definedName>
    <definedName name="wp_pole">Combat!$K$80</definedName>
    <definedName name="wp_shield">Combat!$L$80</definedName>
    <definedName name="wp_siege">Combat!$M$80</definedName>
    <definedName name="wp_spear">Combat!$N$80</definedName>
    <definedName name="wp_staff">Combat!$O$80</definedName>
    <definedName name="wp_sword">Combat!$P$80</definedName>
    <definedName name="wp_target">Combat!$Q$80</definedName>
    <definedName name="wp_whip">Combat!$R$80</definedName>
    <definedName name="xp">'Character Sheet'!$F$7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1" l="1"/>
  <c r="A74" i="1"/>
  <c r="E22" i="9" l="1"/>
  <c r="E21" i="9"/>
  <c r="E20" i="9"/>
  <c r="Q47" i="1"/>
  <c r="N47" i="1"/>
  <c r="K47" i="1"/>
  <c r="H8" i="9"/>
  <c r="E8" i="9"/>
  <c r="J5" i="1"/>
  <c r="E10" i="9"/>
  <c r="D45" i="1"/>
  <c r="AM8" i="10" l="1"/>
  <c r="Q59" i="10" l="1"/>
  <c r="Q58" i="10"/>
  <c r="Q57" i="10"/>
  <c r="Q56" i="10"/>
  <c r="Q55" i="10"/>
  <c r="V59" i="10"/>
  <c r="U59" i="10"/>
  <c r="T59" i="10"/>
  <c r="S59" i="10"/>
  <c r="R59" i="10"/>
  <c r="P59" i="10"/>
  <c r="V58" i="10"/>
  <c r="U58" i="10"/>
  <c r="T58" i="10"/>
  <c r="S58" i="10"/>
  <c r="R58" i="10"/>
  <c r="P58" i="10"/>
  <c r="V57" i="10"/>
  <c r="U57" i="10"/>
  <c r="T57" i="10"/>
  <c r="S57" i="10"/>
  <c r="R57" i="10"/>
  <c r="P57" i="10"/>
  <c r="V56" i="10"/>
  <c r="U56" i="10"/>
  <c r="T56" i="10"/>
  <c r="S56" i="10"/>
  <c r="R56" i="10"/>
  <c r="P56" i="10"/>
  <c r="V55" i="10"/>
  <c r="P55" i="10"/>
  <c r="R55" i="10"/>
  <c r="S55" i="10"/>
  <c r="T55" i="10"/>
  <c r="U55" i="10"/>
  <c r="X57" i="10" l="1"/>
  <c r="W57" i="10"/>
  <c r="X58" i="10"/>
  <c r="W58" i="10"/>
  <c r="W56" i="10"/>
  <c r="X56" i="10"/>
  <c r="X59" i="10"/>
  <c r="W59" i="10"/>
  <c r="X55" i="10"/>
  <c r="W55" i="10"/>
  <c r="O59" i="10"/>
  <c r="O58" i="10"/>
  <c r="O57" i="10"/>
  <c r="O56" i="10"/>
  <c r="O55" i="10"/>
  <c r="N59" i="10"/>
  <c r="N58" i="10"/>
  <c r="N57" i="10"/>
  <c r="N56" i="10"/>
  <c r="N55" i="10"/>
  <c r="N51" i="10"/>
  <c r="N50" i="10"/>
  <c r="N49" i="10"/>
  <c r="H38" i="4"/>
  <c r="H23" i="9" s="1"/>
  <c r="G2" i="4"/>
  <c r="C36" i="4" s="1"/>
  <c r="H36" i="4" s="1"/>
  <c r="G7" i="4"/>
  <c r="K7" i="4" s="1"/>
  <c r="G3" i="4"/>
  <c r="K3" i="4" s="1"/>
  <c r="C29" i="4" s="1"/>
  <c r="H29" i="4" s="1"/>
  <c r="H35" i="4"/>
  <c r="H15" i="9" s="1"/>
  <c r="H34" i="4"/>
  <c r="H14" i="9"/>
  <c r="G5" i="4"/>
  <c r="K5" i="4" s="1"/>
  <c r="C22" i="4" s="1"/>
  <c r="H22" i="4" s="1"/>
  <c r="AM2" i="10" s="1"/>
  <c r="H21" i="4"/>
  <c r="E18" i="9"/>
  <c r="H20" i="4"/>
  <c r="E17" i="9" s="1"/>
  <c r="G6" i="4"/>
  <c r="K6" i="4" s="1"/>
  <c r="C19" i="4" s="1"/>
  <c r="H19" i="4" s="1"/>
  <c r="H15" i="4"/>
  <c r="E12" i="9" s="1"/>
  <c r="R51" i="10"/>
  <c r="R50" i="10"/>
  <c r="R49" i="10"/>
  <c r="Q51" i="10"/>
  <c r="Q50" i="10"/>
  <c r="Q49" i="10"/>
  <c r="P51" i="10"/>
  <c r="P50" i="10"/>
  <c r="P49" i="10"/>
  <c r="O51" i="10"/>
  <c r="O50" i="10"/>
  <c r="O49" i="10"/>
  <c r="X37" i="10"/>
  <c r="X36" i="10"/>
  <c r="X35" i="10"/>
  <c r="X34" i="10"/>
  <c r="X33" i="10"/>
  <c r="X32" i="10"/>
  <c r="X31" i="10"/>
  <c r="X30" i="10"/>
  <c r="X29" i="10"/>
  <c r="AI18" i="10"/>
  <c r="Q21" i="9" s="1"/>
  <c r="AI19" i="10"/>
  <c r="Q22" i="9" s="1"/>
  <c r="A337" i="10"/>
  <c r="A336" i="10"/>
  <c r="A335" i="10"/>
  <c r="A334" i="10"/>
  <c r="A333" i="10"/>
  <c r="A332" i="10"/>
  <c r="A331" i="10"/>
  <c r="A330" i="10"/>
  <c r="A329" i="10"/>
  <c r="A328" i="10"/>
  <c r="A327" i="10"/>
  <c r="A326" i="10"/>
  <c r="A325" i="10"/>
  <c r="A324" i="10"/>
  <c r="A323" i="10"/>
  <c r="F7" i="1"/>
  <c r="C19" i="5"/>
  <c r="V5" i="10" s="1"/>
  <c r="A322" i="10"/>
  <c r="A321" i="10"/>
  <c r="A320" i="10"/>
  <c r="A319" i="10"/>
  <c r="A318" i="10"/>
  <c r="A317" i="10"/>
  <c r="A316" i="10"/>
  <c r="A315" i="10"/>
  <c r="A314" i="10"/>
  <c r="A313" i="10"/>
  <c r="A312" i="10"/>
  <c r="A311" i="10"/>
  <c r="A310" i="10"/>
  <c r="A309" i="10"/>
  <c r="A308" i="10"/>
  <c r="A307" i="10"/>
  <c r="A306" i="10"/>
  <c r="A305" i="10"/>
  <c r="A304" i="10"/>
  <c r="A303" i="10"/>
  <c r="A302" i="10"/>
  <c r="A301" i="10"/>
  <c r="A300" i="10"/>
  <c r="A299" i="10"/>
  <c r="A298" i="10"/>
  <c r="A297" i="10"/>
  <c r="A296" i="10"/>
  <c r="A295" i="10"/>
  <c r="A294" i="10"/>
  <c r="A293" i="10"/>
  <c r="A292" i="10"/>
  <c r="A291" i="10"/>
  <c r="A290" i="10"/>
  <c r="A289" i="10"/>
  <c r="A288" i="10"/>
  <c r="A287" i="10"/>
  <c r="A286" i="10"/>
  <c r="A285" i="10"/>
  <c r="A284" i="10"/>
  <c r="A283"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S25" i="10"/>
  <c r="O25" i="10"/>
  <c r="A25" i="10"/>
  <c r="S24" i="10"/>
  <c r="O24" i="10"/>
  <c r="A24" i="10"/>
  <c r="S23" i="10"/>
  <c r="O23" i="10"/>
  <c r="A23" i="10"/>
  <c r="S22" i="10"/>
  <c r="O22" i="10"/>
  <c r="A22" i="10"/>
  <c r="S21" i="10"/>
  <c r="O21" i="10"/>
  <c r="A21" i="10"/>
  <c r="W20" i="10"/>
  <c r="S20" i="10"/>
  <c r="O20" i="10"/>
  <c r="A20" i="10"/>
  <c r="S19" i="10"/>
  <c r="O19" i="10"/>
  <c r="A19" i="10"/>
  <c r="S18" i="10"/>
  <c r="O18" i="10"/>
  <c r="A18" i="10"/>
  <c r="S17" i="10"/>
  <c r="O17" i="10"/>
  <c r="A17" i="10"/>
  <c r="S16" i="10"/>
  <c r="O16" i="10"/>
  <c r="A16" i="10"/>
  <c r="S15" i="10"/>
  <c r="O15" i="10"/>
  <c r="A15" i="10"/>
  <c r="W14" i="10"/>
  <c r="S14" i="10"/>
  <c r="O14" i="10"/>
  <c r="A14" i="10"/>
  <c r="S13" i="10"/>
  <c r="O13" i="10"/>
  <c r="A13" i="10"/>
  <c r="S12" i="10"/>
  <c r="O12" i="10"/>
  <c r="A12" i="10"/>
  <c r="S11" i="10"/>
  <c r="O11" i="10"/>
  <c r="A11" i="10"/>
  <c r="S10" i="10"/>
  <c r="O10" i="10"/>
  <c r="A10" i="10"/>
  <c r="S9" i="10"/>
  <c r="O9" i="10"/>
  <c r="A9" i="10"/>
  <c r="S8" i="10"/>
  <c r="O8" i="10"/>
  <c r="A8" i="10"/>
  <c r="W7" i="10"/>
  <c r="S7" i="10"/>
  <c r="O7" i="10"/>
  <c r="A7" i="10"/>
  <c r="S6" i="10"/>
  <c r="O6" i="10"/>
  <c r="A6" i="10"/>
  <c r="S5" i="10"/>
  <c r="O5" i="10"/>
  <c r="A5" i="10"/>
  <c r="S4" i="10"/>
  <c r="O4" i="10"/>
  <c r="A4" i="10"/>
  <c r="O3" i="10"/>
  <c r="H23" i="4"/>
  <c r="E4" i="9"/>
  <c r="E6" i="9" s="1"/>
  <c r="N3"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N2" i="3"/>
  <c r="M2" i="3"/>
  <c r="H49" i="4"/>
  <c r="K4" i="6"/>
  <c r="Q4" i="6" s="1"/>
  <c r="H46" i="4"/>
  <c r="B4" i="6" s="1"/>
  <c r="H4" i="6" s="1"/>
  <c r="Q106" i="1"/>
  <c r="P106" i="1"/>
  <c r="M106" i="1"/>
  <c r="J40" i="1"/>
  <c r="N40" i="1"/>
  <c r="J8" i="1"/>
  <c r="Q45" i="1"/>
  <c r="Q46" i="1"/>
  <c r="D47" i="1"/>
  <c r="G4" i="4"/>
  <c r="K4" i="4" s="1"/>
  <c r="Q18" i="1" s="1"/>
  <c r="G8" i="4"/>
  <c r="B10" i="1" s="1"/>
  <c r="G9" i="4"/>
  <c r="B11" i="1" s="1"/>
  <c r="B4" i="1"/>
  <c r="A37" i="1"/>
  <c r="A36" i="1"/>
  <c r="A35" i="1"/>
  <c r="A34" i="1"/>
  <c r="A33" i="1"/>
  <c r="A32" i="1"/>
  <c r="A31" i="1"/>
  <c r="A30" i="1"/>
  <c r="A29" i="1"/>
  <c r="A28" i="1"/>
  <c r="A27" i="1"/>
  <c r="A26" i="1"/>
  <c r="A25" i="1"/>
  <c r="A24" i="1"/>
  <c r="A23" i="1"/>
  <c r="M37" i="1"/>
  <c r="M36" i="1"/>
  <c r="M35" i="1"/>
  <c r="M34" i="1"/>
  <c r="M33" i="1"/>
  <c r="M32" i="1"/>
  <c r="M31" i="1"/>
  <c r="M30" i="1"/>
  <c r="M29" i="1"/>
  <c r="M28" i="1"/>
  <c r="M27" i="1"/>
  <c r="M26" i="1"/>
  <c r="M25" i="1"/>
  <c r="M24" i="1"/>
  <c r="M23" i="1"/>
  <c r="G37" i="1"/>
  <c r="G36" i="1"/>
  <c r="G35" i="1"/>
  <c r="G34" i="1"/>
  <c r="G33" i="1"/>
  <c r="G32" i="1"/>
  <c r="G30" i="1"/>
  <c r="G29" i="1"/>
  <c r="G28" i="1"/>
  <c r="G27" i="1"/>
  <c r="G26" i="1"/>
  <c r="G25" i="1"/>
  <c r="G24" i="1"/>
  <c r="G31" i="1"/>
  <c r="G23" i="1"/>
  <c r="B7" i="1"/>
  <c r="Q15" i="1" s="1"/>
  <c r="K65" i="4"/>
  <c r="K50" i="4"/>
  <c r="K57" i="4" s="1"/>
  <c r="K61" i="4" s="1"/>
  <c r="K54" i="4"/>
  <c r="B8" i="1"/>
  <c r="K64" i="4"/>
  <c r="F19" i="1" s="1"/>
  <c r="K2" i="4"/>
  <c r="J9" i="3" s="1"/>
  <c r="K66" i="4"/>
  <c r="B6" i="1"/>
  <c r="K52" i="4"/>
  <c r="B14" i="1" s="1"/>
  <c r="E14" i="1" s="1"/>
  <c r="K53" i="4"/>
  <c r="K58" i="4"/>
  <c r="K62" i="4" s="1"/>
  <c r="K56" i="4"/>
  <c r="F17" i="1" s="1"/>
  <c r="V23" i="10" l="1"/>
  <c r="R20" i="10"/>
  <c r="S3" i="10"/>
  <c r="V11" i="10"/>
  <c r="U3" i="10"/>
  <c r="R16" i="10"/>
  <c r="U17" i="10"/>
  <c r="Y24" i="10"/>
  <c r="R10" i="10"/>
  <c r="V25" i="10"/>
  <c r="R23" i="10"/>
  <c r="U20" i="10"/>
  <c r="U21" i="10"/>
  <c r="U15" i="10"/>
  <c r="Y22" i="10"/>
  <c r="V15" i="10"/>
  <c r="V18" i="10"/>
  <c r="U8" i="10"/>
  <c r="Y5" i="10"/>
  <c r="L9" i="3"/>
  <c r="F30" i="1" s="1"/>
  <c r="U25" i="10"/>
  <c r="R9" i="10"/>
  <c r="Y19" i="10"/>
  <c r="R3" i="10"/>
  <c r="U16" i="10"/>
  <c r="R17" i="10"/>
  <c r="U24" i="10"/>
  <c r="V10" i="10"/>
  <c r="U7" i="10"/>
  <c r="V13" i="10"/>
  <c r="V4" i="10"/>
  <c r="V6" i="10"/>
  <c r="U22" i="10"/>
  <c r="U5" i="10"/>
  <c r="B9" i="1"/>
  <c r="L19" i="1"/>
  <c r="L18" i="1" s="1"/>
  <c r="J7" i="1"/>
  <c r="F16" i="1"/>
  <c r="F15" i="1" s="1"/>
  <c r="R18" i="10"/>
  <c r="V21" i="10"/>
  <c r="V9" i="10"/>
  <c r="R5" i="10"/>
  <c r="J43" i="3"/>
  <c r="L43" i="3" s="1"/>
  <c r="Q34" i="1" s="1"/>
  <c r="K15" i="4"/>
  <c r="K32" i="4" s="1"/>
  <c r="K45" i="1"/>
  <c r="R25" i="10"/>
  <c r="T25" i="10" s="1"/>
  <c r="U23" i="10"/>
  <c r="U18" i="10"/>
  <c r="U9" i="10"/>
  <c r="Y20" i="10"/>
  <c r="I7" i="4"/>
  <c r="C27" i="4" s="1"/>
  <c r="H27" i="4" s="1"/>
  <c r="J19" i="3"/>
  <c r="L19" i="3" s="1"/>
  <c r="L25" i="1" s="1"/>
  <c r="J42" i="3"/>
  <c r="L42" i="3" s="1"/>
  <c r="Q33" i="1" s="1"/>
  <c r="C32" i="4"/>
  <c r="H32" i="4" s="1"/>
  <c r="N41" i="1" s="1"/>
  <c r="C33" i="4"/>
  <c r="H33" i="4" s="1"/>
  <c r="N42" i="1" s="1"/>
  <c r="C31" i="4"/>
  <c r="H31" i="4" s="1"/>
  <c r="H18" i="9" s="1"/>
  <c r="Q42" i="1"/>
  <c r="J14" i="3"/>
  <c r="L14" i="3" s="1"/>
  <c r="F35" i="1" s="1"/>
  <c r="J23" i="3"/>
  <c r="L23" i="3" s="1"/>
  <c r="L29" i="1" s="1"/>
  <c r="B5" i="1"/>
  <c r="C37" i="4"/>
  <c r="H37" i="4" s="1"/>
  <c r="Q40" i="1" s="1"/>
  <c r="J25" i="3"/>
  <c r="L25" i="3" s="1"/>
  <c r="L31" i="1" s="1"/>
  <c r="K8" i="4"/>
  <c r="Q19" i="1" s="1"/>
  <c r="I3" i="4"/>
  <c r="C28" i="4" s="1"/>
  <c r="H28" i="4" s="1"/>
  <c r="J2" i="3"/>
  <c r="L2" i="3" s="1"/>
  <c r="F23" i="1" s="1"/>
  <c r="J44" i="3"/>
  <c r="L44" i="3" s="1"/>
  <c r="Q35" i="1" s="1"/>
  <c r="J10" i="3"/>
  <c r="L10" i="3" s="1"/>
  <c r="F31" i="1" s="1"/>
  <c r="J7" i="3"/>
  <c r="L7" i="3" s="1"/>
  <c r="F28" i="1" s="1"/>
  <c r="J41" i="3"/>
  <c r="L41" i="3" s="1"/>
  <c r="Q32" i="1" s="1"/>
  <c r="J22" i="3"/>
  <c r="L22" i="3" s="1"/>
  <c r="L28" i="1" s="1"/>
  <c r="J27" i="3"/>
  <c r="L27" i="3" s="1"/>
  <c r="L33" i="1" s="1"/>
  <c r="J34" i="3"/>
  <c r="L34" i="3" s="1"/>
  <c r="Q25" i="1" s="1"/>
  <c r="J35" i="3"/>
  <c r="L35" i="3" s="1"/>
  <c r="Q26" i="1" s="1"/>
  <c r="J12" i="3"/>
  <c r="L12" i="3" s="1"/>
  <c r="F33" i="1" s="1"/>
  <c r="J3" i="3"/>
  <c r="L3" i="3" s="1"/>
  <c r="F24" i="1" s="1"/>
  <c r="J4" i="3"/>
  <c r="L4" i="3" s="1"/>
  <c r="F25" i="1" s="1"/>
  <c r="J16" i="3"/>
  <c r="L16" i="3" s="1"/>
  <c r="F37" i="1" s="1"/>
  <c r="J21" i="3"/>
  <c r="L21" i="3" s="1"/>
  <c r="L27" i="1" s="1"/>
  <c r="J11" i="3"/>
  <c r="L11" i="3" s="1"/>
  <c r="F32" i="1" s="1"/>
  <c r="J31" i="3"/>
  <c r="L31" i="3" s="1"/>
  <c r="L37" i="1" s="1"/>
  <c r="J33" i="3"/>
  <c r="L33" i="3" s="1"/>
  <c r="Q24" i="1" s="1"/>
  <c r="H22" i="9"/>
  <c r="Q41" i="1"/>
  <c r="H12" i="9"/>
  <c r="E40" i="1"/>
  <c r="H4" i="9"/>
  <c r="H6" i="9" s="1"/>
  <c r="N45" i="1"/>
  <c r="E42" i="1"/>
  <c r="H20" i="9"/>
  <c r="J6" i="3"/>
  <c r="L6" i="3" s="1"/>
  <c r="F27" i="1" s="1"/>
  <c r="J45" i="3"/>
  <c r="L45" i="3" s="1"/>
  <c r="Q36" i="1" s="1"/>
  <c r="J17" i="3"/>
  <c r="L17" i="3" s="1"/>
  <c r="L23" i="1" s="1"/>
  <c r="J20" i="3"/>
  <c r="L20" i="3" s="1"/>
  <c r="L26" i="1" s="1"/>
  <c r="J38" i="3"/>
  <c r="L38" i="3" s="1"/>
  <c r="Q29" i="1" s="1"/>
  <c r="J18" i="3"/>
  <c r="L18" i="3" s="1"/>
  <c r="L24" i="1" s="1"/>
  <c r="J36" i="3"/>
  <c r="L36" i="3" s="1"/>
  <c r="Q27" i="1" s="1"/>
  <c r="J29" i="3"/>
  <c r="L29" i="3" s="1"/>
  <c r="L35" i="1" s="1"/>
  <c r="J15" i="3"/>
  <c r="L15" i="3" s="1"/>
  <c r="F36" i="1" s="1"/>
  <c r="J32" i="3"/>
  <c r="L32" i="3" s="1"/>
  <c r="Q23" i="1" s="1"/>
  <c r="J8" i="3"/>
  <c r="L8" i="3" s="1"/>
  <c r="F29" i="1" s="1"/>
  <c r="C30" i="4"/>
  <c r="H30" i="4" s="1"/>
  <c r="J5" i="3"/>
  <c r="L5" i="3" s="1"/>
  <c r="F26" i="1" s="1"/>
  <c r="J24" i="3"/>
  <c r="L24" i="3" s="1"/>
  <c r="L30" i="1" s="1"/>
  <c r="J39" i="3"/>
  <c r="L39" i="3" s="1"/>
  <c r="Q30" i="1" s="1"/>
  <c r="J37" i="3"/>
  <c r="L37" i="3" s="1"/>
  <c r="Q28" i="1" s="1"/>
  <c r="J13" i="3"/>
  <c r="L13" i="3" s="1"/>
  <c r="F34" i="1" s="1"/>
  <c r="J28" i="3"/>
  <c r="L28" i="3" s="1"/>
  <c r="L34" i="1" s="1"/>
  <c r="J40" i="3"/>
  <c r="L40" i="3" s="1"/>
  <c r="Q31" i="1" s="1"/>
  <c r="J26" i="3"/>
  <c r="L26" i="3" s="1"/>
  <c r="L32" i="1" s="1"/>
  <c r="J46" i="3"/>
  <c r="L46" i="3" s="1"/>
  <c r="Q37" i="1" s="1"/>
  <c r="J30" i="3"/>
  <c r="L30" i="3" s="1"/>
  <c r="L36" i="1" s="1"/>
  <c r="O51" i="1"/>
  <c r="O50" i="1"/>
  <c r="N50" i="1"/>
  <c r="E50" i="1"/>
  <c r="H52" i="1"/>
  <c r="E52" i="1"/>
  <c r="N52" i="1"/>
  <c r="K52" i="1"/>
  <c r="E51" i="1"/>
  <c r="N51" i="1"/>
  <c r="C16" i="4"/>
  <c r="H16" i="4" s="1"/>
  <c r="E13" i="9" s="1"/>
  <c r="N46" i="1"/>
  <c r="E16" i="9"/>
  <c r="C18" i="4"/>
  <c r="H18" i="4" s="1"/>
  <c r="K51" i="1" s="1"/>
  <c r="C17" i="4"/>
  <c r="H17" i="4" s="1"/>
  <c r="H51" i="1" s="1"/>
  <c r="Q14" i="1"/>
  <c r="Q17" i="1"/>
  <c r="Q16" i="1" s="1"/>
  <c r="AD6" i="10"/>
  <c r="AJ6" i="10" s="1"/>
  <c r="S9" i="9" s="1"/>
  <c r="AD10" i="10"/>
  <c r="AJ10" i="10" s="1"/>
  <c r="S13" i="9" s="1"/>
  <c r="AD14" i="10"/>
  <c r="AD5" i="10"/>
  <c r="AJ5" i="10" s="1"/>
  <c r="S8" i="9" s="1"/>
  <c r="AC5" i="10"/>
  <c r="AI5" i="10" s="1"/>
  <c r="Q8" i="9" s="1"/>
  <c r="AC20" i="10"/>
  <c r="AI20" i="10" s="1"/>
  <c r="Q23" i="9" s="1"/>
  <c r="AD11" i="10"/>
  <c r="AC16" i="10"/>
  <c r="AM3" i="10"/>
  <c r="AF3" i="10" s="1"/>
  <c r="AD15" i="10"/>
  <c r="AJ15" i="10" s="1"/>
  <c r="S18" i="9" s="1"/>
  <c r="AC7" i="10"/>
  <c r="AC11" i="10"/>
  <c r="AF11" i="10" s="1"/>
  <c r="AD3" i="10"/>
  <c r="AJ3" i="10" s="1"/>
  <c r="S6" i="9" s="1"/>
  <c r="AC6" i="10"/>
  <c r="AI6" i="10" s="1"/>
  <c r="Q9" i="9" s="1"/>
  <c r="AC14" i="10"/>
  <c r="E19" i="9"/>
  <c r="AD8" i="10"/>
  <c r="AJ8" i="10" s="1"/>
  <c r="S11" i="9" s="1"/>
  <c r="AD12" i="10"/>
  <c r="AM4" i="10"/>
  <c r="AC8" i="10"/>
  <c r="AI8" i="10" s="1"/>
  <c r="Q11" i="9" s="1"/>
  <c r="AC4" i="10"/>
  <c r="AI4" i="10" s="1"/>
  <c r="Q7" i="9" s="1"/>
  <c r="AC9" i="10"/>
  <c r="AC13" i="10"/>
  <c r="AF13" i="10" s="1"/>
  <c r="AD7" i="10"/>
  <c r="AJ7" i="10" s="1"/>
  <c r="S10" i="9" s="1"/>
  <c r="AD13" i="10"/>
  <c r="AJ13" i="10" s="1"/>
  <c r="S16" i="9" s="1"/>
  <c r="AC10" i="10"/>
  <c r="G47" i="1"/>
  <c r="AD4" i="10"/>
  <c r="AJ4" i="10" s="1"/>
  <c r="S7" i="9" s="1"/>
  <c r="AC17" i="10"/>
  <c r="AF17" i="10" s="1"/>
  <c r="AC3" i="10"/>
  <c r="AC15" i="10"/>
  <c r="AI15" i="10" s="1"/>
  <c r="Q18" i="9" s="1"/>
  <c r="AD9" i="10"/>
  <c r="AG9" i="10" s="1"/>
  <c r="AC12" i="10"/>
  <c r="T5" i="10"/>
  <c r="K60" i="4"/>
  <c r="F18" i="1" s="1"/>
  <c r="T9" i="10"/>
  <c r="T3" i="10"/>
  <c r="T17" i="10"/>
  <c r="T20" i="10"/>
  <c r="T16" i="10"/>
  <c r="T10" i="10"/>
  <c r="T23" i="10"/>
  <c r="T18" i="10"/>
  <c r="U10" i="10"/>
  <c r="R15" i="10"/>
  <c r="T15" i="10" s="1"/>
  <c r="V17" i="10"/>
  <c r="Y10" i="10"/>
  <c r="R14" i="10"/>
  <c r="T14" i="10" s="1"/>
  <c r="R4" i="10"/>
  <c r="T4" i="10" s="1"/>
  <c r="R13" i="10"/>
  <c r="T13" i="10" s="1"/>
  <c r="V12" i="10"/>
  <c r="V22" i="10"/>
  <c r="U13" i="10"/>
  <c r="V16" i="10"/>
  <c r="V8" i="10"/>
  <c r="R24" i="10"/>
  <c r="T24" i="10" s="1"/>
  <c r="V3" i="10"/>
  <c r="U11" i="10"/>
  <c r="U19" i="10"/>
  <c r="R7" i="10"/>
  <c r="T7" i="10" s="1"/>
  <c r="V7" i="10"/>
  <c r="Y7" i="10"/>
  <c r="R6" i="10"/>
  <c r="T6" i="10" s="1"/>
  <c r="R12" i="10"/>
  <c r="T12" i="10" s="1"/>
  <c r="U6" i="10"/>
  <c r="R22" i="10"/>
  <c r="T22" i="10" s="1"/>
  <c r="R19" i="10"/>
  <c r="T19" i="10" s="1"/>
  <c r="R8" i="10"/>
  <c r="T8" i="10" s="1"/>
  <c r="V19" i="10"/>
  <c r="Y11" i="10"/>
  <c r="V20" i="10"/>
  <c r="U14" i="10"/>
  <c r="V14" i="10"/>
  <c r="U4" i="10"/>
  <c r="R21" i="10"/>
  <c r="T21" i="10" s="1"/>
  <c r="U12" i="10"/>
  <c r="V24" i="10"/>
  <c r="Y14" i="10"/>
  <c r="R11" i="10"/>
  <c r="T11" i="10" s="1"/>
  <c r="L16" i="1"/>
  <c r="L15" i="1"/>
  <c r="L14" i="1"/>
  <c r="H21" i="9" l="1"/>
  <c r="H13" i="9"/>
  <c r="H19" i="9"/>
  <c r="E41" i="1"/>
  <c r="H16" i="9"/>
  <c r="J42" i="1"/>
  <c r="D46" i="1"/>
  <c r="K50" i="1"/>
  <c r="J41" i="1"/>
  <c r="H17" i="9"/>
  <c r="AI11" i="10"/>
  <c r="Q14" i="9" s="1"/>
  <c r="AI3" i="10"/>
  <c r="Q6" i="9" s="1"/>
  <c r="AJ9" i="10"/>
  <c r="S12" i="9" s="1"/>
  <c r="H50" i="1"/>
  <c r="E15" i="9"/>
  <c r="K46" i="1"/>
  <c r="E14" i="9"/>
  <c r="G46" i="1"/>
  <c r="AG3" i="10"/>
  <c r="AG6" i="10"/>
  <c r="AG8" i="10"/>
  <c r="AG10" i="10"/>
  <c r="AG7" i="10"/>
  <c r="AG13" i="10"/>
  <c r="AG5" i="10"/>
  <c r="AF14" i="10"/>
  <c r="AI14" i="10"/>
  <c r="Q17" i="9" s="1"/>
  <c r="AF7" i="10"/>
  <c r="AI7" i="10"/>
  <c r="Q10" i="9" s="1"/>
  <c r="AF16" i="10"/>
  <c r="AI16" i="10"/>
  <c r="Q19" i="9" s="1"/>
  <c r="AF10" i="10"/>
  <c r="AI10" i="10"/>
  <c r="Q13" i="9" s="1"/>
  <c r="AI9" i="10"/>
  <c r="Q12" i="9" s="1"/>
  <c r="AF9" i="10"/>
  <c r="AG12" i="10"/>
  <c r="AJ12" i="10"/>
  <c r="S15" i="9" s="1"/>
  <c r="AG15" i="10"/>
  <c r="AJ11" i="10"/>
  <c r="S14" i="9" s="1"/>
  <c r="AG11" i="10"/>
  <c r="AG14" i="10"/>
  <c r="AJ14" i="10"/>
  <c r="S17" i="9" s="1"/>
  <c r="AI12" i="10"/>
  <c r="Q15" i="9" s="1"/>
  <c r="AF12" i="10"/>
  <c r="AI17" i="10"/>
  <c r="Q20" i="9" s="1"/>
  <c r="AI13" i="10"/>
  <c r="Q16" i="9" s="1"/>
  <c r="AG4" i="10"/>
  <c r="AF20" i="10"/>
  <c r="AF15" i="10"/>
  <c r="AF8" i="10"/>
  <c r="AF5" i="10"/>
  <c r="AF6" i="10"/>
  <c r="AF4" i="10"/>
</calcChain>
</file>

<file path=xl/sharedStrings.xml><?xml version="1.0" encoding="utf-8"?>
<sst xmlns="http://schemas.openxmlformats.org/spreadsheetml/2006/main" count="1680" uniqueCount="409">
  <si>
    <t>Instructions</t>
  </si>
  <si>
    <t>For those familiar with Excel, this section may not be necessary. However, I wanted to make a quick walkthrough of the Character Sheet for those who may not be as familiar or feel overwhelmed by all the worksheets.</t>
  </si>
  <si>
    <r>
      <rPr>
        <b/>
        <sz val="11"/>
        <color theme="1"/>
        <rFont val="Calibri"/>
        <family val="2"/>
        <scheme val="minor"/>
      </rPr>
      <t>1. The Character Sheet.</t>
    </r>
    <r>
      <rPr>
        <sz val="11"/>
        <color theme="1"/>
        <rFont val="Calibri"/>
        <family val="2"/>
        <scheme val="minor"/>
      </rPr>
      <t xml:space="preserve"> This should be the main sheet you use when playing. It should also be the sheet you need to enter the least amount of information into. The Character Sheet has most of its information taken from the other worksheets.  If there's a number already in the field, that means the information can be found somewhere else and you probably don't want to erase that information. The information not filled out is more character specific, like your name and your origins. That's all on you, the player! A few of the other fields also have a little too much information for me to do for you.</t>
    </r>
  </si>
  <si>
    <r>
      <rPr>
        <b/>
        <sz val="11"/>
        <color theme="1"/>
        <rFont val="Calibri"/>
        <family val="2"/>
        <scheme val="minor"/>
      </rPr>
      <t>Note 1:</t>
    </r>
    <r>
      <rPr>
        <sz val="11"/>
        <color theme="1"/>
        <rFont val="Calibri"/>
        <family val="2"/>
        <scheme val="minor"/>
      </rPr>
      <t xml:space="preserve"> The second page of the Character Sheet is primarily things like Equipment, Wealth, Companion/Riding Animal, and extra space for notes. If you're playing a quick NPC, this sheet might not be needed. I tried to include things like gold coins from different regions, and even the weight of equipment. The fields will, again, add them together for you. These aren't necessary though. Some Game Masters love these details and want to know how much you're carrying or which region your gold is from, others don't care. This is there for those who enjoy such things.</t>
    </r>
  </si>
  <si>
    <r>
      <rPr>
        <b/>
        <sz val="11"/>
        <color theme="1"/>
        <rFont val="Calibri"/>
        <family val="2"/>
        <scheme val="minor"/>
      </rPr>
      <t>2. The Worktable.</t>
    </r>
    <r>
      <rPr>
        <sz val="11"/>
        <color theme="1"/>
        <rFont val="Calibri"/>
        <family val="2"/>
        <scheme val="minor"/>
      </rPr>
      <t xml:space="preserve"> This is the most important of the worksheets. Think of this like your scratch paper when making a character. You write down your initial Attribute rolls, then they keep getting altered by O.C.C., skills, etc. So you erase numbers and write in the new ones. But unlike scratch paper, the Worktable will auto-calculate many things for you. Carry/Lift and Throw capabilities are automatically figured out from your P.S., your Hit Points bonus and how long before you get tired in certain tasks from your P.E., skill Bonuses from I.Q., etc. You don't have to worry about Exceptional Attributes or anything like that, the sheet will take care of it for you. The sheet also works for Combat Bonuses.  There are several fields for the same value (such as Base Roll, Race Bonuses, Skills Bonuses, O.C.C. Bonuses, etc.). These are to help keep track of your character progress. I find this useful as a player and a G.M. After a long campaign, it's easy to forget where all those bonuses came from. But by keeping everything tallied, it's much easier to go back and take a quick look.</t>
    </r>
  </si>
  <si>
    <r>
      <rPr>
        <b/>
        <sz val="11"/>
        <color theme="1"/>
        <rFont val="Calibri"/>
        <family val="2"/>
        <scheme val="minor"/>
      </rPr>
      <t>Note 1:</t>
    </r>
    <r>
      <rPr>
        <sz val="11"/>
        <color theme="1"/>
        <rFont val="Calibri"/>
        <family val="2"/>
        <scheme val="minor"/>
      </rPr>
      <t xml:space="preserve"> P.P.E. can be complicated. If you're new to the Palladium system, I recommend ignoring it completely or simply rolling your Racial P.P.E. and stopping there. If you're playing a Practitioner of Magic, or another class that uses P.P.E. (like a Palladin or Warrior Monk), then you might need to do more work. I marked it in a different color as a warning to be careful to new players. Some classes add their base P.E. attribute, some do not, so I couldn't include that in the standard formula. So if you're new and not sure, talk to your G.M.</t>
    </r>
  </si>
  <si>
    <r>
      <rPr>
        <b/>
        <sz val="11"/>
        <color theme="1"/>
        <rFont val="Calibri"/>
        <family val="2"/>
        <scheme val="minor"/>
      </rPr>
      <t>Note 2:</t>
    </r>
    <r>
      <rPr>
        <sz val="11"/>
        <color theme="1"/>
        <rFont val="Calibri"/>
        <family val="2"/>
        <scheme val="minor"/>
      </rPr>
      <t xml:space="preserve"> The Character Sheet is designed primarily around mortal characters. However, if you scroll down on the Worktable, you'll find "Strength Type" (on the right side, with nothing on the left). This is for characters who are Giants and/or have Supernatural Strength. You can change the "Strength Type" to Giant or Supernatural. See "Editor's Notes" worksheet for details on Giant Strength. You can click on the arrow and open the options to select one of the others. If you change it on accident, don't worry! Just change it back to "Normal" (I have it set as the default, unless changed).</t>
    </r>
  </si>
  <si>
    <r>
      <rPr>
        <b/>
        <sz val="11"/>
        <color theme="1"/>
        <rFont val="Calibri"/>
        <family val="2"/>
        <scheme val="minor"/>
      </rPr>
      <t>3. The Skill Worksheet.</t>
    </r>
    <r>
      <rPr>
        <sz val="11"/>
        <color theme="1"/>
        <rFont val="Calibri"/>
        <family val="2"/>
        <scheme val="minor"/>
      </rPr>
      <t xml:space="preserve"> I recommend writing your skills here. Enter the bonuses in the correct field. The worksheet will take care of the rest, including adding bonuses as you level. That means you don't have to worry about forgetting.  Any skills entered into the Skills section will show up in the Skills field of the Character Sheet. However, the optional Weapon Proficiencies section will not. If you want your W.P. to show up on the Character Sheet, you'll need to write them in the Skills section. If you want to keep track of your W.P. bonuses, I recommend using something like "W.P. Sword, +2s, +2p, +1t" (strike/parry/throw).</t>
    </r>
  </si>
  <si>
    <r>
      <rPr>
        <b/>
        <sz val="11"/>
        <color theme="1"/>
        <rFont val="Calibri"/>
        <family val="2"/>
        <scheme val="minor"/>
      </rPr>
      <t>Note 1:</t>
    </r>
    <r>
      <rPr>
        <sz val="11"/>
        <color theme="1"/>
        <rFont val="Calibri"/>
        <family val="2"/>
        <scheme val="minor"/>
      </rPr>
      <t xml:space="preserve"> Some skills have multiple base percentages, such as Horsemanship having a First and Second Percentile. Lore: Magic is another good example, this time having three percentile, each representing something different. While the main (first) percentile displays on the main Character Sheet, these other two will not (mainly because of space, and there's just not enough skills that have more than one). There are two main ways to deal with these extra percentile. First, include them in the alloted slots on the Skill Worksheet. When you need to use them, just flip over to the other tab. If you're planning to print the Character Sheet out, then I recommend  the second method. Type the second percentile as a new skill below the first one. This means something like "Horsemanship: Knight" with the first percentile, then in the skill line below "Horemanship: Knight" again, this time with the second percentile. Sorry, I haven't found a better solution yet.</t>
    </r>
  </si>
  <si>
    <r>
      <rPr>
        <b/>
        <sz val="11"/>
        <color theme="1"/>
        <rFont val="Calibri"/>
        <family val="2"/>
        <scheme val="minor"/>
      </rPr>
      <t>Note 2:</t>
    </r>
    <r>
      <rPr>
        <sz val="11"/>
        <color theme="1"/>
        <rFont val="Calibri"/>
        <family val="2"/>
        <scheme val="minor"/>
      </rPr>
      <t xml:space="preserve"> I made Level 1 as the standard/default for Skill Selection. As the character levels however, you add new skills. Change the "Level Selected" to your current level when the skill was selected. So, if for example, you gain two new O.C.C. Related Skills at Level 3, change the 1 to a 3 for those two skills. If you get one extra Secondary Skill at Level 4, change the 1 to a 4. This will treat these new skills as Level 1 skills (even though your character is Level 3 or 4) when selected.</t>
    </r>
  </si>
  <si>
    <r>
      <rPr>
        <b/>
        <sz val="11"/>
        <color theme="1"/>
        <rFont val="Calibri"/>
        <family val="2"/>
        <scheme val="minor"/>
      </rPr>
      <t>Note 3:</t>
    </r>
    <r>
      <rPr>
        <sz val="11"/>
        <color theme="1"/>
        <rFont val="Calibri"/>
        <family val="2"/>
        <scheme val="minor"/>
      </rPr>
      <t xml:space="preserve"> Skill Proficiencies (%) will show the total value on the Skill Worksheet, even if the percentage exceeds 100. On the Character Sheet however, skills with a 99% or higher will only show 98%. This is the skill cap in Palladium Books. For Game Masters who allow skills to go over 100% for the purpose of canceling skill penalties, see the Skill Worksheet for the total value.</t>
    </r>
  </si>
  <si>
    <r>
      <rPr>
        <b/>
        <sz val="11"/>
        <color theme="1"/>
        <rFont val="Calibri"/>
        <family val="2"/>
        <scheme val="minor"/>
      </rPr>
      <t>Note 4:</t>
    </r>
    <r>
      <rPr>
        <sz val="11"/>
        <color theme="1"/>
        <rFont val="Calibri"/>
        <family val="2"/>
        <scheme val="minor"/>
      </rPr>
      <t xml:space="preserve"> The Weapon Proficiency sheet is to help keep detailed track of those skills. There are two blank green colored tabs at the end of each W.P. This is for you to fill in as necessary. Some W.P. have Entangle or Damage bonuses, or a Rate of Fire and a Range bonus. Use as needed.</t>
    </r>
  </si>
  <si>
    <r>
      <rPr>
        <b/>
        <sz val="11"/>
        <color theme="1"/>
        <rFont val="Calibri"/>
        <family val="2"/>
        <scheme val="minor"/>
      </rPr>
      <t>4. Magic &amp; Psionics.</t>
    </r>
    <r>
      <rPr>
        <sz val="11"/>
        <color theme="1"/>
        <rFont val="Calibri"/>
        <family val="2"/>
        <scheme val="minor"/>
      </rPr>
      <t xml:space="preserve"> This is a way for keeping track of a Spells and Psionic powers. If your character is only a minor Psionic with a couple of psychic powers, I recommend just using the Special Abilities section on the Character Sheet. Fill in as necessary. I kept this section separate as not everyone plays a psychic or magic user. </t>
    </r>
  </si>
  <si>
    <r>
      <rPr>
        <b/>
        <sz val="11"/>
        <color theme="1"/>
        <rFont val="Calibri"/>
        <family val="2"/>
        <scheme val="minor"/>
      </rPr>
      <t>5. Experience Chart.</t>
    </r>
    <r>
      <rPr>
        <sz val="11"/>
        <color theme="1"/>
        <rFont val="Calibri"/>
        <family val="2"/>
        <scheme val="minor"/>
      </rPr>
      <t xml:space="preserve"> Unfortunately, you need to fill this out yourself (unless Palladium gives me permission to include all the Experience Point charts). You only need to fill it out once for the character though. Once you do, the Character Level will automatically calculate based on how much Experience Points you have (enter on the Character Sheet). Instructions can be found on this worksheet.</t>
    </r>
  </si>
  <si>
    <r>
      <rPr>
        <b/>
        <sz val="11"/>
        <color theme="1"/>
        <rFont val="Calibri"/>
        <family val="2"/>
        <scheme val="minor"/>
      </rPr>
      <t>6. Editor's Notes.</t>
    </r>
    <r>
      <rPr>
        <sz val="11"/>
        <color theme="1"/>
        <rFont val="Calibri"/>
        <family val="2"/>
        <scheme val="minor"/>
      </rPr>
      <t xml:space="preserve"> In addition to these instructions, I tried to include notes about which Palladium resources I used and why I made some of the decisions I did. While I tried to stay true to the Palladium Fantasy setting, I sometimes used other resources or had to make a judgement call. This should help you understand why.</t>
    </r>
  </si>
  <si>
    <r>
      <rPr>
        <b/>
        <sz val="11"/>
        <color theme="1"/>
        <rFont val="Calibri"/>
        <family val="2"/>
        <scheme val="minor"/>
      </rPr>
      <t>7. Locked Worksheets (Password).</t>
    </r>
    <r>
      <rPr>
        <sz val="11"/>
        <color theme="1"/>
        <rFont val="Calibri"/>
        <family val="2"/>
        <scheme val="minor"/>
      </rPr>
      <t xml:space="preserve"> Most of the worksheets are locked as their default state. This is to avoid accidental changes to the various formula. If you feel the need to change something, the password is: PF2. This applies to all worksheets. I wanted the password to be simple to type and easy to remember. My intent with this Character Sheet is to help ease your workload, not minimize your options. So customize to suit your needs, and have fun.</t>
    </r>
  </si>
  <si>
    <t>Palladium Fantasy Character Sheet</t>
  </si>
  <si>
    <t>Attributes</t>
  </si>
  <si>
    <t>Character Description &amp; Background</t>
  </si>
  <si>
    <t>I.Q.</t>
  </si>
  <si>
    <t>Name</t>
  </si>
  <si>
    <t>Birth Order</t>
  </si>
  <si>
    <t>M.E.</t>
  </si>
  <si>
    <t>Race</t>
  </si>
  <si>
    <t>H.F.</t>
  </si>
  <si>
    <t>Disposition</t>
  </si>
  <si>
    <t>M.A.</t>
  </si>
  <si>
    <t>O.C.C.</t>
  </si>
  <si>
    <t>Land of Origin</t>
  </si>
  <si>
    <t>P.S.</t>
  </si>
  <si>
    <t>Experience</t>
  </si>
  <si>
    <t>Level</t>
  </si>
  <si>
    <t>Type of Environment</t>
  </si>
  <si>
    <t>P.P.</t>
  </si>
  <si>
    <t>Alignment</t>
  </si>
  <si>
    <t>P.P.E.</t>
  </si>
  <si>
    <t>Social Background</t>
  </si>
  <si>
    <t>P.E.</t>
  </si>
  <si>
    <t>Age</t>
  </si>
  <si>
    <t>Gender</t>
  </si>
  <si>
    <t>Racial Hostility, if any</t>
  </si>
  <si>
    <t>P.B.</t>
  </si>
  <si>
    <t>Height</t>
  </si>
  <si>
    <t>Weight</t>
  </si>
  <si>
    <t>Patron Diety</t>
  </si>
  <si>
    <t>Spd.</t>
  </si>
  <si>
    <t>Hair Color</t>
  </si>
  <si>
    <t>Eye Color</t>
  </si>
  <si>
    <t>Insanity, if any</t>
  </si>
  <si>
    <t>Derived Values</t>
  </si>
  <si>
    <t>Carry</t>
  </si>
  <si>
    <t>Lift</t>
  </si>
  <si>
    <t>lbs.</t>
  </si>
  <si>
    <t>Run, feet per second</t>
  </si>
  <si>
    <t>Jump, length in feet (standing)</t>
  </si>
  <si>
    <t>Max Carry (in minutes), light</t>
  </si>
  <si>
    <t>Run, yards per melee</t>
  </si>
  <si>
    <t>-- length (with a running start)</t>
  </si>
  <si>
    <t>-- max carry, heavy exertion</t>
  </si>
  <si>
    <t>Run, yards per minute</t>
  </si>
  <si>
    <t>Jump, height in feet (standing)</t>
  </si>
  <si>
    <t>Throw (in feet), up to 1 lb.</t>
  </si>
  <si>
    <t>Run, miles per hour</t>
  </si>
  <si>
    <t>-- height (with a running start)</t>
  </si>
  <si>
    <t>Throw (in feet), up to 10 lbs.</t>
  </si>
  <si>
    <t>Max speed, distance in miles</t>
  </si>
  <si>
    <t>Trust/Intimidate</t>
  </si>
  <si>
    <t>Throw (in feet), max carry</t>
  </si>
  <si>
    <t>1/2 Speed, distance in miles</t>
  </si>
  <si>
    <t>Charm/Impress</t>
  </si>
  <si>
    <t>Skills</t>
  </si>
  <si>
    <t>Skill Name</t>
  </si>
  <si>
    <t>%</t>
  </si>
  <si>
    <t>Saving Throws</t>
  </si>
  <si>
    <t>Coma/Death</t>
  </si>
  <si>
    <t>Horror Factor (HF)</t>
  </si>
  <si>
    <t>HF, Elemental Beings</t>
  </si>
  <si>
    <t>Possession</t>
  </si>
  <si>
    <t>Psionics</t>
  </si>
  <si>
    <t>Magic</t>
  </si>
  <si>
    <t>Poison/Drugs/Toxins</t>
  </si>
  <si>
    <t>Illusions</t>
  </si>
  <si>
    <t>Insanity</t>
  </si>
  <si>
    <t>Faerie Magic*</t>
  </si>
  <si>
    <t>Disease*</t>
  </si>
  <si>
    <t>Mind Control*</t>
  </si>
  <si>
    <t>Combat</t>
  </si>
  <si>
    <t>Hand to Hand:</t>
  </si>
  <si>
    <t>Attacks Per Melee</t>
  </si>
  <si>
    <t>Hit Points</t>
  </si>
  <si>
    <t>S.D.C.</t>
  </si>
  <si>
    <t>Initiative</t>
  </si>
  <si>
    <t>Strike</t>
  </si>
  <si>
    <t>Parry</t>
  </si>
  <si>
    <t>Dodge</t>
  </si>
  <si>
    <t>Roll w/ Punch</t>
  </si>
  <si>
    <t>Pull Punch</t>
  </si>
  <si>
    <t>Damage Bonus</t>
  </si>
  <si>
    <t>Critical Range</t>
  </si>
  <si>
    <t>Knockout/Stun</t>
  </si>
  <si>
    <t>Deathblow</t>
  </si>
  <si>
    <t>Primary Combat Equipment (Quick Reference)</t>
  </si>
  <si>
    <t>Type</t>
  </si>
  <si>
    <t>Damage</t>
  </si>
  <si>
    <t>Armor</t>
  </si>
  <si>
    <t>A.R.</t>
  </si>
  <si>
    <t>Encumberance</t>
  </si>
  <si>
    <t>Special Abilities, Items, Notes</t>
  </si>
  <si>
    <t>Wealth</t>
  </si>
  <si>
    <t>Equipment</t>
  </si>
  <si>
    <t>Gold</t>
  </si>
  <si>
    <t>Item</t>
  </si>
  <si>
    <t>Qty.</t>
  </si>
  <si>
    <t>Location</t>
  </si>
  <si>
    <t>Value</t>
  </si>
  <si>
    <t>Valuable Gems</t>
  </si>
  <si>
    <t>Other Tradable Goods</t>
  </si>
  <si>
    <t>Companion or Riding Animal</t>
  </si>
  <si>
    <t>Animal Type</t>
  </si>
  <si>
    <t>Speed</t>
  </si>
  <si>
    <t>Attacks</t>
  </si>
  <si>
    <t>Notes</t>
  </si>
  <si>
    <t>Totals</t>
  </si>
  <si>
    <t>N/A</t>
  </si>
  <si>
    <t>Attribute</t>
  </si>
  <si>
    <t>Number Rolled</t>
  </si>
  <si>
    <t>Racial Bonus</t>
  </si>
  <si>
    <t>O.C.C. 
Bonus</t>
  </si>
  <si>
    <t>Skill Bonus</t>
  </si>
  <si>
    <t>Other Bonus</t>
  </si>
  <si>
    <t>Final Number</t>
  </si>
  <si>
    <t>Bonuses</t>
  </si>
  <si>
    <t>Psionic</t>
  </si>
  <si>
    <t>Hand to Hand: Damage</t>
  </si>
  <si>
    <t>Strike, Parry, &amp; Dodge</t>
  </si>
  <si>
    <t>Magic/Poison</t>
  </si>
  <si>
    <t>No bonuses</t>
  </si>
  <si>
    <t>Combat Stat</t>
  </si>
  <si>
    <t>Stat Bonus</t>
  </si>
  <si>
    <t>O.C.C. Bonus</t>
  </si>
  <si>
    <t>HtH Bonus</t>
  </si>
  <si>
    <t>Total Bonus</t>
  </si>
  <si>
    <t>Other Bonuses</t>
  </si>
  <si>
    <t>Level 1 (Roll)</t>
  </si>
  <si>
    <t>Level 2 (Roll)</t>
  </si>
  <si>
    <t>Level 3 (Roll)</t>
  </si>
  <si>
    <t>Roll with Punch</t>
  </si>
  <si>
    <t>Level 4 (Roll)</t>
  </si>
  <si>
    <t>Level 5 (Roll)</t>
  </si>
  <si>
    <t>Level 6 (Roll)</t>
  </si>
  <si>
    <t>Level 7 (Roll)</t>
  </si>
  <si>
    <t>Level 8 (Roll)</t>
  </si>
  <si>
    <t>Level Bonus</t>
  </si>
  <si>
    <t>Level 9 (Roll)</t>
  </si>
  <si>
    <t>Level 10 (Roll)</t>
  </si>
  <si>
    <t>Level 11 (Roll)</t>
  </si>
  <si>
    <t>Save vs.</t>
  </si>
  <si>
    <t>Level 12 (Roll)</t>
  </si>
  <si>
    <t>Level 13 (Roll)</t>
  </si>
  <si>
    <t>Level 14 (Roll)</t>
  </si>
  <si>
    <t>Level 15 (Roll)</t>
  </si>
  <si>
    <t>Total</t>
  </si>
  <si>
    <t>Poison/Drugs</t>
  </si>
  <si>
    <t>Disease</t>
  </si>
  <si>
    <t>Horror Factor</t>
  </si>
  <si>
    <t>HF (Elemetals)*</t>
  </si>
  <si>
    <t>Note: Some saves (such as Mind Control or Faerie Magic) are specialized, and marked with a * symbol. So a Mind Control attempt might be made using Drugs (or through Magic). In these cases, add BOTH bonuses together. So while Faerie Magic is a type of Magic (add both together), it will not help against Invocation or Circle Magic (Save vs. Magic only).</t>
  </si>
  <si>
    <t>Strength Type</t>
  </si>
  <si>
    <t>I.S.P.</t>
  </si>
  <si>
    <t>Normal</t>
  </si>
  <si>
    <t>P.S. over 30</t>
  </si>
  <si>
    <t>Giant</t>
  </si>
  <si>
    <t>Supernatural</t>
  </si>
  <si>
    <t>Throw, 1 lb.</t>
  </si>
  <si>
    <t>Throw, 10 lbs.</t>
  </si>
  <si>
    <t>Throw, Max</t>
  </si>
  <si>
    <t>Cell Symbols</t>
  </si>
  <si>
    <t>Plus sign</t>
  </si>
  <si>
    <t>+</t>
  </si>
  <si>
    <t>Percentile sign</t>
  </si>
  <si>
    <t>Weight sign</t>
  </si>
  <si>
    <t>Base</t>
  </si>
  <si>
    <t>2nd % Base</t>
  </si>
  <si>
    <t>3rd % Base</t>
  </si>
  <si>
    <t>Per Level</t>
  </si>
  <si>
    <t>Level Selected</t>
  </si>
  <si>
    <t>I.Q. Bonus</t>
  </si>
  <si>
    <t>Other</t>
  </si>
  <si>
    <t>2nd % Total</t>
  </si>
  <si>
    <t>3rd % Total</t>
  </si>
  <si>
    <t>Weapon Proficiencies
(Reference Only)</t>
  </si>
  <si>
    <t>W.P.</t>
  </si>
  <si>
    <t>Throw</t>
  </si>
  <si>
    <t>Used</t>
  </si>
  <si>
    <t>Remaining</t>
  </si>
  <si>
    <t>Spells &amp; Psionic Powers</t>
  </si>
  <si>
    <t>Range</t>
  </si>
  <si>
    <t>Duration</t>
  </si>
  <si>
    <t>Saving Throw</t>
  </si>
  <si>
    <t>Cost</t>
  </si>
  <si>
    <t>Damage, if any</t>
  </si>
  <si>
    <t>Experience Point Chart</t>
  </si>
  <si>
    <t>Starting</t>
  </si>
  <si>
    <t>Ending</t>
  </si>
  <si>
    <t>Character Level</t>
  </si>
  <si>
    <t>1. Manually enter Experience Point chart for the O.C.C. used in chart above. Only "Starting" experience points is required.</t>
  </si>
  <si>
    <t>2. Enter Experience Points on Character Sheet. Note: I personally like to add Experience Points using the "=" command. As an example, in Game 1 you earn 300 experience points. In Game 2 you earn 700 experience points. And in Game 3 you earn 500 experience points. So in the "Experience" tab on the Character sheet, you'd type "=300+700+500" and Excel will automatically calculate the total for you. At the end of each game just click on the Formula Bar at the top of Excel and add "+" the number of Experience you earned that game. This lets you keep a record of Experience earned per game, and saves on simple math mistakes.</t>
  </si>
  <si>
    <t>3. Character level will automatically calculate as you gain more and more experience.</t>
  </si>
  <si>
    <t>1. Attribute bonuses above 30 are taken from Rifts Ultimate Edition, on page 284. Some of these bonuses could not be properly included on this sheet (such as a high M.A. providing bonuses to very specific skills).  These bonuses affect multiple cells. I also had to make a decision about the text regarding lifting/carrying 30% more for every 5 points over P.S. of 30. I had two interpretations, additive or exponential. As an example, P.S. 45 would receive the 30% bonus 3 times. I could either add 90% (30+30+30), or apply the 30% bonus three separate times (which would be 30^3). I decided on additive (90%, in the previous example).</t>
  </si>
  <si>
    <t>2. The "Character Description &amp; Background" has many optional fields. These are designed to help new players flesh out their characters. Most of them are taken from the Palladium Fantasy Second Edition main book "Character Background" section starting on page 32. Though many of those options often have a sentence description, usually a single word or two will convey the  concept on a character sheet (due to space concerns).</t>
  </si>
  <si>
    <t>3. "Max carry" (in minutes) for Light Activity and Heavy Exertion are taken from Palladium Fantasy First Edition, on page 8. Fatigue rules for P.E. over 30 from Rifts Ultimate Edition are also factored in.</t>
  </si>
  <si>
    <t>4. Distance for running for Max/Full Speed and 1/2 Speed (Cruising) are taken from Rifts Ultimate Edition, on page 317 under the "Running" skill.  Fatigue rules for P.E. over 30 from Rifts Ultimate Edition are also factored in.</t>
  </si>
  <si>
    <t>5. The "Throw" values use the "Optional" rules in the Palladium Fantasy Second Edition main book, on page 17. Though these are "Optional," I felt it helps make each character more varied in capabilities.</t>
  </si>
  <si>
    <t>6. The "Jump" values use the rules from Heroes Unlimited G.M.'s Guide, on pages 56-57 as part of the "Rampage" rules. These rules, as written, do not apply to normal characters, especially when NOT rampaging wild. However, the values seemed reasonable and, again, I felt this gave each character a greater degree of variety in their capabilities. These are not Palladium Fantasy rules, as I have not found any Palladium Fantasy rules for Jumping.</t>
  </si>
  <si>
    <t>7. The "Giant" Strength category is due to a reference in the Throwing ranges of the Palladium Fantasy Second Edition main book, on page 17. Giants (without Supernatural Strength) are equal to humans with Extraordinary Strength (20 or higher, for throwing) with a greater throwing range. I can find no other advantage to "Giant" strength.</t>
  </si>
  <si>
    <t>8. Supernatural Strength 17 and less limits are derived from Rifts Ultimate Edition, on page 286. Palladium Fantasy Second Edition main book, on page 17, mentions Supernatural with a P.S. of 17 or lower is equal to human carry (x10). This means a Superantural P.S. of 17 (x10) is weaker than a human P.S. of 17 (x20). Lower than that, they're only equal to a human. I find the Rifts Ultimate Edition note of Supernatural Strength equal to strong humans (x20) much more sensible with the concept of a Supernaturally strong character.</t>
  </si>
  <si>
    <t>Main Weapon</t>
  </si>
  <si>
    <t>Secondary/Alt.</t>
  </si>
  <si>
    <t>Backhand Strike</t>
  </si>
  <si>
    <t>Karate Strike/Punch</t>
  </si>
  <si>
    <t>Elbow/Forearm</t>
  </si>
  <si>
    <t>Karate Kick</t>
  </si>
  <si>
    <t>Jump Kick</t>
  </si>
  <si>
    <t>Roundhouse Kick</t>
  </si>
  <si>
    <t>Snap Kick</t>
  </si>
  <si>
    <t>Basic Kick (Standard)</t>
  </si>
  <si>
    <t>Basic Punch (Standard)</t>
  </si>
  <si>
    <t>Wheel Kick</t>
  </si>
  <si>
    <t>Knee</t>
  </si>
  <si>
    <t>Backward Sweep</t>
  </si>
  <si>
    <t>Axe Kick</t>
  </si>
  <si>
    <t>Crescent Kick</t>
  </si>
  <si>
    <t>Standard</t>
  </si>
  <si>
    <t>Power</t>
  </si>
  <si>
    <t>1D6</t>
  </si>
  <si>
    <t>1D4</t>
  </si>
  <si>
    <t>2D4</t>
  </si>
  <si>
    <t>2D6</t>
  </si>
  <si>
    <t>3D6</t>
  </si>
  <si>
    <t>Tripping/Leg Hook</t>
  </si>
  <si>
    <t>None</t>
  </si>
  <si>
    <t>6D6</t>
  </si>
  <si>
    <t>Flying Jump Kick</t>
  </si>
  <si>
    <t>4D6</t>
  </si>
  <si>
    <t>Supernatural Damage</t>
  </si>
  <si>
    <t>Restrained</t>
  </si>
  <si>
    <t>Power Punch</t>
  </si>
  <si>
    <t>Restrained Punch</t>
  </si>
  <si>
    <t>Full Strength Punch</t>
  </si>
  <si>
    <t>Supernatural Damage Table</t>
  </si>
  <si>
    <t>Full</t>
  </si>
  <si>
    <t>1D4x10</t>
  </si>
  <si>
    <t>5D6</t>
  </si>
  <si>
    <t>1D6x10</t>
  </si>
  <si>
    <t>2D4x10</t>
  </si>
  <si>
    <t>2D6x10</t>
  </si>
  <si>
    <t>3D6x10</t>
  </si>
  <si>
    <t>Max Full</t>
  </si>
  <si>
    <t>Attack</t>
  </si>
  <si>
    <t>Weapon Proficiencies</t>
  </si>
  <si>
    <t>Weapons</t>
  </si>
  <si>
    <t>Saves</t>
  </si>
  <si>
    <t>Basic</t>
  </si>
  <si>
    <t>Expert</t>
  </si>
  <si>
    <t>Martial Arts</t>
  </si>
  <si>
    <t>Assassin</t>
  </si>
  <si>
    <t>Entangle</t>
  </si>
  <si>
    <t>Body Flip/Throw</t>
  </si>
  <si>
    <t>Body Block/Tackle</t>
  </si>
  <si>
    <t>Basic Punch, Standard</t>
  </si>
  <si>
    <t>Basic Kick, Standard</t>
  </si>
  <si>
    <t>Attack
(check if known)</t>
  </si>
  <si>
    <t>Unarmed Attacks</t>
  </si>
  <si>
    <t>Faerie Magic</t>
  </si>
  <si>
    <t>HF; Elemental</t>
  </si>
  <si>
    <t>Illusion</t>
  </si>
  <si>
    <t>Mind Control</t>
  </si>
  <si>
    <t>Ability 1</t>
  </si>
  <si>
    <t>Ability 2</t>
  </si>
  <si>
    <t>Ability 3</t>
  </si>
  <si>
    <t>Main</t>
  </si>
  <si>
    <t>Alt.</t>
  </si>
  <si>
    <t>Ability 4</t>
  </si>
  <si>
    <t>Craftsmanship</t>
  </si>
  <si>
    <t>Natural A.R.</t>
  </si>
  <si>
    <t>Damage Taken</t>
  </si>
  <si>
    <t>Details</t>
  </si>
  <si>
    <t>Racial Bonuses</t>
  </si>
  <si>
    <t>Direct to H.P.</t>
  </si>
  <si>
    <t>Category</t>
  </si>
  <si>
    <t>Standard 
Damage</t>
  </si>
  <si>
    <t>Power 
Damage</t>
  </si>
  <si>
    <t>Base Damage</t>
  </si>
  <si>
    <t>D6</t>
  </si>
  <si>
    <t>D6x10</t>
  </si>
  <si>
    <t>Weapon</t>
  </si>
  <si>
    <t>Base Dam.</t>
  </si>
  <si>
    <t>Modifier</t>
  </si>
  <si>
    <t>W.P. Mod</t>
  </si>
  <si>
    <t>Dam Total</t>
  </si>
  <si>
    <t>Mod Total</t>
  </si>
  <si>
    <t>Misc.</t>
  </si>
  <si>
    <t>Bonus</t>
  </si>
  <si>
    <t>(not selected)</t>
  </si>
  <si>
    <t>HtH / Level</t>
  </si>
  <si>
    <t>Roll</t>
  </si>
  <si>
    <t>Pull</t>
  </si>
  <si>
    <t>Critical</t>
  </si>
  <si>
    <t>Knockout</t>
  </si>
  <si>
    <t>Battle Axe</t>
  </si>
  <si>
    <t>Bo Staff</t>
  </si>
  <si>
    <t>Bull Whip</t>
  </si>
  <si>
    <t>Claymore</t>
  </si>
  <si>
    <t>Dagger</t>
  </si>
  <si>
    <t>Flail</t>
  </si>
  <si>
    <t>Glaive</t>
  </si>
  <si>
    <t>Grappling Hook</t>
  </si>
  <si>
    <t>Heavy Crossbow</t>
  </si>
  <si>
    <t>Hercules Club</t>
  </si>
  <si>
    <t>Lance</t>
  </si>
  <si>
    <t>Long Spear</t>
  </si>
  <si>
    <t>Long Sword</t>
  </si>
  <si>
    <t>Mace</t>
  </si>
  <si>
    <t>Mace and Chain</t>
  </si>
  <si>
    <t>Scythe</t>
  </si>
  <si>
    <t>Short Bow</t>
  </si>
  <si>
    <t>Short Spear</t>
  </si>
  <si>
    <t>Short Staff</t>
  </si>
  <si>
    <t>Sling</t>
  </si>
  <si>
    <t>Small Shield</t>
  </si>
  <si>
    <t>19-20</t>
  </si>
  <si>
    <t>Trident</t>
  </si>
  <si>
    <t>Voulge</t>
  </si>
  <si>
    <t>Penalties</t>
  </si>
  <si>
    <t>Cloth</t>
  </si>
  <si>
    <t>Padded</t>
  </si>
  <si>
    <t>Soft Leather</t>
  </si>
  <si>
    <t>Hard Leather</t>
  </si>
  <si>
    <t>Studded Leather</t>
  </si>
  <si>
    <t>-5% prowl, climb, &amp; swim</t>
  </si>
  <si>
    <t>Chain Mail</t>
  </si>
  <si>
    <t>-10% prowl, climb, &amp; swim</t>
  </si>
  <si>
    <t>Chain Mail, half</t>
  </si>
  <si>
    <t>Double Mail</t>
  </si>
  <si>
    <t>Double Mail, half</t>
  </si>
  <si>
    <t>Scale</t>
  </si>
  <si>
    <t>18-20</t>
  </si>
  <si>
    <t>Scale, half</t>
  </si>
  <si>
    <t>Splint</t>
  </si>
  <si>
    <t>-15%prowl,-20%climb&amp;swim</t>
  </si>
  <si>
    <t>Splint, half</t>
  </si>
  <si>
    <t>Plate</t>
  </si>
  <si>
    <t>Plate, half</t>
  </si>
  <si>
    <t>Plate &amp; Chain</t>
  </si>
  <si>
    <t>17-20</t>
  </si>
  <si>
    <t>Archery</t>
  </si>
  <si>
    <t>Blunt</t>
  </si>
  <si>
    <t>Chain</t>
  </si>
  <si>
    <t>Forked Weapons/Trident</t>
  </si>
  <si>
    <t>Knife</t>
  </si>
  <si>
    <t>Mouth Weapons/Blowguns</t>
  </si>
  <si>
    <t>Net</t>
  </si>
  <si>
    <t>Paired Weapons</t>
  </si>
  <si>
    <t>Pole Arm</t>
  </si>
  <si>
    <t>Shield</t>
  </si>
  <si>
    <t>Siege Weapons</t>
  </si>
  <si>
    <t>Spear</t>
  </si>
  <si>
    <t>Staff</t>
  </si>
  <si>
    <t>Sword</t>
  </si>
  <si>
    <t>Targeting/Missile Weapons</t>
  </si>
  <si>
    <t>Whip</t>
  </si>
  <si>
    <t>W.P./Level</t>
  </si>
  <si>
    <t>Thrown</t>
  </si>
  <si>
    <t>ROF</t>
  </si>
  <si>
    <t>SN Full</t>
  </si>
  <si>
    <t>SN Power</t>
  </si>
  <si>
    <t>Normal Damage</t>
  </si>
  <si>
    <t>Checkbox</t>
  </si>
  <si>
    <t>If Known</t>
  </si>
  <si>
    <t>Character Damage</t>
  </si>
  <si>
    <t>Damage Table</t>
  </si>
  <si>
    <t>D4</t>
  </si>
  <si>
    <t>D8</t>
  </si>
  <si>
    <t>D10</t>
  </si>
  <si>
    <t>D12</t>
  </si>
  <si>
    <t>D4x10</t>
  </si>
  <si>
    <t>Armor Select</t>
  </si>
  <si>
    <t>Weapon Select</t>
  </si>
  <si>
    <t>Alt</t>
  </si>
  <si>
    <t># of Die</t>
  </si>
  <si>
    <t>Die Type</t>
  </si>
  <si>
    <t>Select</t>
  </si>
  <si>
    <t>Penalty</t>
  </si>
  <si>
    <t>Default Weapon Damage</t>
  </si>
  <si>
    <t>Basic Punch</t>
  </si>
  <si>
    <r>
      <rPr>
        <b/>
        <sz val="11"/>
        <color theme="1"/>
        <rFont val="Calibri"/>
        <family val="2"/>
        <scheme val="minor"/>
      </rPr>
      <t>Note 1:</t>
    </r>
    <r>
      <rPr>
        <sz val="11"/>
        <color theme="1"/>
        <rFont val="Calibri"/>
        <family val="2"/>
        <scheme val="minor"/>
      </rPr>
      <t xml:space="preserve"> The W.P. slots here will NOT directly display on the main Character Sheet page. However, the Strike and Parry bonuses entered here WILL be added into the Main and Alternate weapons displayed on the main page (if there's an appropriate category selected).
Example: You select W.P. Sword and enter a +1 to Strike and a +2 to Parry. Then in the Weapon area you enter a Claymore with a Category: Sword. The sheet will automatically recognize this and add in the bonuses on the Character Sheet when displaying the total bonuses for your Main and Alternate weapon. So if the Claymore also has a +2 Parry from Craftsmanship, and the character has a +3 to Parry from Hand to Hand, the Claymore main weapon displayed on the Character Sheet will show +1 to Strike and +7 to Parry! By adding up everything for you, this should help make combat run quicker and avoid you accidently forgetting to add in a bonus.</t>
    </r>
  </si>
  <si>
    <r>
      <rPr>
        <b/>
        <sz val="11"/>
        <color theme="1"/>
        <rFont val="Calibri"/>
        <family val="2"/>
        <scheme val="minor"/>
      </rPr>
      <t>5. Combat Sheet.</t>
    </r>
    <r>
      <rPr>
        <sz val="11"/>
        <color theme="1"/>
        <rFont val="Calibri"/>
        <family val="2"/>
        <scheme val="minor"/>
      </rPr>
      <t xml:space="preserve"> Some people like to have all their combat stats in one place. This sheet gives a list of unarmed combat moves with boxes to check if known to the character. Damage will be displayed if known, and will calculate for Supernatural Strength. There's also space for Weapon Proficiencies, a few Armor slots, as well as multiple Weapon slots (equal to the number of W.P. slots, just in case).</t>
    </r>
  </si>
  <si>
    <t>Note 2: There are a lot of dropdown menus for W.P., Category, and even damage die and some bonuses. This is to help keep everything in a format the sheet will recognize. The sheet is also set up so you can only select 1 main armor and 1 main weapon and 1 alternate weapon. The character can have more, but only the selected options will be displayed on the main Character Sheet. If your Main and Alternate weapon are identical, you can save time and space by writing it only once, and then clicking the same weapon as Main and Alternate.</t>
  </si>
  <si>
    <t>gold (gp), Western Imperials</t>
  </si>
  <si>
    <t>gold (gp), Eastern Crowns</t>
  </si>
  <si>
    <t>gold (gp), Lopan/Phi Marque</t>
  </si>
  <si>
    <t>gold (gp), Bizantium Royale</t>
  </si>
  <si>
    <t>gold (gp), Old Kingdom coins</t>
  </si>
  <si>
    <t>gold (gp), Wolfen Legions</t>
  </si>
  <si>
    <t>gold (gp), Timiro Sovereigns</t>
  </si>
  <si>
    <t>gold (gp), South-Winds ducats</t>
  </si>
  <si>
    <t>gold (gp), Mount Nimro Giants</t>
  </si>
  <si>
    <t>gold (gp), Orcish Empire Rakh</t>
  </si>
  <si>
    <t>gold pieces, total (all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</si>
</sst>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b/>
      <sz val="16"/>
      <color rgb="FFFF0000"/>
      <name val="Calibri"/>
      <family val="2"/>
      <scheme val="minor"/>
    </font>
    <font>
      <sz val="10"/>
      <color theme="0"/>
      <name val="Calibri"/>
      <family val="2"/>
      <scheme val="minor"/>
    </font>
    <font>
      <sz val="10"/>
      <color rgb="FFFF0000"/>
      <name val="Calibri"/>
      <family val="2"/>
      <scheme val="minor"/>
    </font>
    <font>
      <b/>
      <sz val="16"/>
      <color rgb="FFFF0000"/>
      <name val="Rockwell"/>
      <family val="1"/>
    </font>
    <font>
      <b/>
      <sz val="10"/>
      <color theme="0"/>
      <name val="Calibri"/>
      <family val="2"/>
      <scheme val="minor"/>
    </font>
    <font>
      <sz val="10.5"/>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1"/>
      <name val="Calibri"/>
      <family val="2"/>
      <scheme val="minor"/>
    </font>
    <font>
      <sz val="11"/>
      <name val="Calibri"/>
      <family val="2"/>
      <scheme val="minor"/>
    </font>
    <font>
      <sz val="7"/>
      <name val="Calibri"/>
      <family val="2"/>
      <scheme val="minor"/>
    </font>
    <font>
      <sz val="8"/>
      <color theme="0"/>
      <name val="Calibri"/>
      <family val="2"/>
      <scheme val="minor"/>
    </font>
  </fonts>
  <fills count="13">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542708"/>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FF9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style="thin">
        <color indexed="64"/>
      </bottom>
      <diagonal/>
    </border>
  </borders>
  <cellStyleXfs count="1">
    <xf numFmtId="0" fontId="0" fillId="0" borderId="0"/>
  </cellStyleXfs>
  <cellXfs count="870">
    <xf numFmtId="0" fontId="0" fillId="0" borderId="0" xfId="0"/>
    <xf numFmtId="0" fontId="0" fillId="0" borderId="0" xfId="0"/>
    <xf numFmtId="0" fontId="2" fillId="0" borderId="0" xfId="0" applyFont="1"/>
    <xf numFmtId="0" fontId="0" fillId="0" borderId="0" xfId="0" applyFill="1"/>
    <xf numFmtId="0" fontId="2" fillId="0" borderId="0" xfId="0" applyFont="1" applyFill="1"/>
    <xf numFmtId="0" fontId="2" fillId="0" borderId="0" xfId="0" applyFont="1" applyBorder="1" applyAlignment="1">
      <alignment horizontal="right"/>
    </xf>
    <xf numFmtId="0" fontId="2" fillId="0" borderId="0" xfId="0" applyFont="1" applyFill="1" applyBorder="1" applyAlignment="1">
      <alignment horizontal="left"/>
    </xf>
    <xf numFmtId="0" fontId="0" fillId="2" borderId="1" xfId="0" applyFill="1" applyBorder="1"/>
    <xf numFmtId="0" fontId="0" fillId="0" borderId="0" xfId="0" applyFill="1" applyBorder="1"/>
    <xf numFmtId="0" fontId="2" fillId="2" borderId="1" xfId="0" applyFont="1" applyFill="1" applyBorder="1"/>
    <xf numFmtId="0" fontId="2" fillId="0" borderId="0" xfId="0" applyFont="1" applyFill="1" applyBorder="1"/>
    <xf numFmtId="0" fontId="2" fillId="0" borderId="10" xfId="0" applyFont="1" applyBorder="1"/>
    <xf numFmtId="0" fontId="2" fillId="0" borderId="9" xfId="0" applyFont="1" applyBorder="1"/>
    <xf numFmtId="0" fontId="2" fillId="3" borderId="9" xfId="0" applyFont="1" applyFill="1" applyBorder="1"/>
    <xf numFmtId="0" fontId="2" fillId="3" borderId="11" xfId="0" applyFont="1" applyFill="1" applyBorder="1"/>
    <xf numFmtId="0" fontId="2" fillId="3" borderId="17" xfId="0" applyFont="1" applyFill="1" applyBorder="1"/>
    <xf numFmtId="0" fontId="2" fillId="2" borderId="14" xfId="0" applyFont="1" applyFill="1" applyBorder="1"/>
    <xf numFmtId="0" fontId="2" fillId="2" borderId="20" xfId="0" applyFont="1" applyFill="1" applyBorder="1"/>
    <xf numFmtId="0" fontId="2" fillId="0" borderId="11" xfId="0" applyFont="1" applyFill="1" applyBorder="1"/>
    <xf numFmtId="0" fontId="2" fillId="0" borderId="12" xfId="0" applyFont="1" applyFill="1" applyBorder="1"/>
    <xf numFmtId="0" fontId="2" fillId="0" borderId="17" xfId="0" applyFont="1" applyBorder="1"/>
    <xf numFmtId="0" fontId="2" fillId="0" borderId="18" xfId="0" quotePrefix="1" applyFont="1" applyBorder="1"/>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xf>
    <xf numFmtId="0" fontId="0" fillId="2" borderId="6" xfId="0" applyFill="1" applyBorder="1"/>
    <xf numFmtId="0" fontId="0" fillId="0" borderId="0" xfId="0" applyAlignment="1">
      <alignment horizontal="center"/>
    </xf>
    <xf numFmtId="0" fontId="0" fillId="3" borderId="17" xfId="0" applyFill="1" applyBorder="1" applyAlignment="1">
      <alignment horizontal="center"/>
    </xf>
    <xf numFmtId="0" fontId="0" fillId="3" borderId="20" xfId="0" applyFill="1" applyBorder="1" applyAlignment="1">
      <alignment horizontal="center"/>
    </xf>
    <xf numFmtId="0" fontId="0" fillId="3" borderId="18" xfId="0" applyFill="1" applyBorder="1" applyAlignment="1">
      <alignment horizontal="center"/>
    </xf>
    <xf numFmtId="0" fontId="0" fillId="0" borderId="0" xfId="0" applyAlignment="1"/>
    <xf numFmtId="0" fontId="2" fillId="3" borderId="9" xfId="0" applyFont="1" applyFill="1" applyBorder="1" applyAlignment="1">
      <alignment horizontal="left" vertical="center" wrapText="1"/>
    </xf>
    <xf numFmtId="0" fontId="2" fillId="3" borderId="8" xfId="0" applyFont="1" applyFill="1" applyBorder="1" applyAlignment="1">
      <alignment horizont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2" fillId="3" borderId="51" xfId="0" applyFont="1" applyFill="1" applyBorder="1"/>
    <xf numFmtId="0" fontId="2" fillId="3" borderId="52" xfId="0" applyFont="1" applyFill="1" applyBorder="1"/>
    <xf numFmtId="0" fontId="2" fillId="0" borderId="52" xfId="0" applyFont="1" applyBorder="1" applyAlignment="1">
      <alignment horizontal="right"/>
    </xf>
    <xf numFmtId="0" fontId="2" fillId="3" borderId="60" xfId="0" applyFont="1" applyFill="1" applyBorder="1"/>
    <xf numFmtId="0" fontId="5" fillId="0" borderId="0" xfId="0" applyFont="1" applyFill="1" applyBorder="1" applyAlignment="1">
      <alignment horizontal="center"/>
    </xf>
    <xf numFmtId="0" fontId="0" fillId="3" borderId="53" xfId="0" applyFill="1" applyBorder="1" applyAlignment="1">
      <alignment horizontal="center" vertical="center"/>
    </xf>
    <xf numFmtId="0" fontId="0" fillId="3" borderId="22" xfId="0" applyFill="1" applyBorder="1" applyAlignment="1">
      <alignment horizontal="center" vertical="center" wrapText="1"/>
    </xf>
    <xf numFmtId="0" fontId="0" fillId="3" borderId="47" xfId="0" applyFill="1" applyBorder="1" applyAlignment="1">
      <alignment horizontal="center" vertical="center"/>
    </xf>
    <xf numFmtId="0" fontId="0" fillId="3" borderId="23" xfId="0" applyFill="1" applyBorder="1" applyAlignment="1">
      <alignment horizontal="center" vertical="center" wrapText="1"/>
    </xf>
    <xf numFmtId="0" fontId="0" fillId="3" borderId="36" xfId="0" applyFill="1" applyBorder="1" applyAlignment="1">
      <alignment horizontal="center" vertical="center" wrapText="1"/>
    </xf>
    <xf numFmtId="0" fontId="0" fillId="7" borderId="20" xfId="0" applyFill="1" applyBorder="1"/>
    <xf numFmtId="0" fontId="0" fillId="5" borderId="18" xfId="0" applyFill="1" applyBorder="1"/>
    <xf numFmtId="0" fontId="5" fillId="8" borderId="23" xfId="0" applyFont="1" applyFill="1" applyBorder="1" applyAlignment="1">
      <alignment horizontal="center" vertical="center" wrapText="1"/>
    </xf>
    <xf numFmtId="0" fontId="3" fillId="3" borderId="9" xfId="0" applyFont="1" applyFill="1" applyBorder="1" applyAlignment="1">
      <alignment horizontal="left" vertical="center"/>
    </xf>
    <xf numFmtId="0" fontId="2" fillId="0" borderId="2" xfId="0" applyFont="1" applyBorder="1" applyAlignment="1" applyProtection="1">
      <alignment horizontal="right"/>
      <protection locked="0"/>
    </xf>
    <xf numFmtId="0" fontId="2" fillId="0" borderId="26" xfId="0" applyFont="1" applyBorder="1" applyAlignment="1" applyProtection="1">
      <alignment horizontal="right"/>
      <protection locked="0"/>
    </xf>
    <xf numFmtId="0" fontId="2" fillId="0" borderId="32" xfId="0" applyFont="1" applyBorder="1" applyAlignment="1" applyProtection="1">
      <alignment horizontal="right"/>
      <protection locked="0"/>
    </xf>
    <xf numFmtId="0" fontId="2" fillId="0" borderId="26" xfId="0" applyFont="1" applyFill="1" applyBorder="1" applyAlignment="1" applyProtection="1">
      <alignment horizontal="right"/>
      <protection locked="0"/>
    </xf>
    <xf numFmtId="0" fontId="2" fillId="0" borderId="15" xfId="0" applyFont="1" applyBorder="1" applyAlignment="1" applyProtection="1">
      <alignment horizontal="right"/>
      <protection locked="0"/>
    </xf>
    <xf numFmtId="0" fontId="2" fillId="0" borderId="6" xfId="0" applyFont="1" applyBorder="1" applyAlignment="1" applyProtection="1">
      <alignment horizontal="center"/>
      <protection locked="0"/>
    </xf>
    <xf numFmtId="0" fontId="2" fillId="0" borderId="44" xfId="0" applyFont="1" applyBorder="1" applyAlignment="1" applyProtection="1">
      <alignment horizontal="right"/>
      <protection locked="0"/>
    </xf>
    <xf numFmtId="0" fontId="2" fillId="0" borderId="20" xfId="0" applyFont="1" applyBorder="1" applyProtection="1">
      <protection locked="0"/>
    </xf>
    <xf numFmtId="0" fontId="2" fillId="0" borderId="1" xfId="0" applyFont="1" applyBorder="1" applyProtection="1">
      <protection locked="0"/>
    </xf>
    <xf numFmtId="0" fontId="2" fillId="0" borderId="14" xfId="0" applyFont="1" applyBorder="1" applyProtection="1">
      <protection locked="0"/>
    </xf>
    <xf numFmtId="0" fontId="2" fillId="0" borderId="52" xfId="0" applyFont="1"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7" borderId="1" xfId="0" applyFill="1" applyBorder="1" applyProtection="1">
      <protection locked="0"/>
    </xf>
    <xf numFmtId="0" fontId="0" fillId="5" borderId="1" xfId="0" applyFill="1" applyBorder="1" applyProtection="1">
      <protection locked="0"/>
    </xf>
    <xf numFmtId="0" fontId="0" fillId="7" borderId="14" xfId="0" applyFill="1" applyBorder="1" applyProtection="1">
      <protection locked="0"/>
    </xf>
    <xf numFmtId="0" fontId="0" fillId="5" borderId="14" xfId="0" applyFill="1" applyBorder="1" applyProtection="1">
      <protection locked="0"/>
    </xf>
    <xf numFmtId="0" fontId="0" fillId="0" borderId="14" xfId="0" applyBorder="1" applyProtection="1">
      <protection locked="0"/>
    </xf>
    <xf numFmtId="0" fontId="0" fillId="0" borderId="52" xfId="0" applyBorder="1" applyProtection="1">
      <protection locked="0"/>
    </xf>
    <xf numFmtId="0" fontId="0" fillId="0" borderId="2" xfId="0" applyBorder="1" applyProtection="1">
      <protection locked="0"/>
    </xf>
    <xf numFmtId="0" fontId="0" fillId="0" borderId="15" xfId="0" applyBorder="1" applyProtection="1">
      <protection locked="0"/>
    </xf>
    <xf numFmtId="0" fontId="0" fillId="9" borderId="28" xfId="0" applyFill="1" applyBorder="1" applyProtection="1">
      <protection locked="0"/>
    </xf>
    <xf numFmtId="0" fontId="0" fillId="9" borderId="3" xfId="0" applyFill="1" applyBorder="1" applyProtection="1">
      <protection locked="0"/>
    </xf>
    <xf numFmtId="0" fontId="0" fillId="9" borderId="33" xfId="0" applyFill="1" applyBorder="1" applyProtection="1">
      <protection locked="0"/>
    </xf>
    <xf numFmtId="0" fontId="0" fillId="9" borderId="17" xfId="0" applyFill="1" applyBorder="1"/>
    <xf numFmtId="0" fontId="0" fillId="9" borderId="51" xfId="0" applyFill="1" applyBorder="1"/>
    <xf numFmtId="0" fontId="9" fillId="3" borderId="28" xfId="0" applyFont="1" applyFill="1" applyBorder="1" applyAlignment="1">
      <alignment horizontal="left"/>
    </xf>
    <xf numFmtId="0" fontId="9" fillId="0" borderId="20" xfId="0" applyFont="1" applyBorder="1" applyAlignment="1" applyProtection="1">
      <alignment horizontal="right"/>
      <protection locked="0"/>
    </xf>
    <xf numFmtId="0" fontId="9" fillId="3" borderId="20" xfId="0" applyFont="1" applyFill="1" applyBorder="1" applyAlignment="1">
      <alignment horizontal="left"/>
    </xf>
    <xf numFmtId="0" fontId="9" fillId="3" borderId="3" xfId="0" applyFont="1" applyFill="1" applyBorder="1" applyAlignment="1">
      <alignment horizontal="left"/>
    </xf>
    <xf numFmtId="0" fontId="9" fillId="0" borderId="1" xfId="0" applyFont="1" applyBorder="1" applyAlignment="1" applyProtection="1">
      <alignment horizontal="right"/>
      <protection locked="0"/>
    </xf>
    <xf numFmtId="0" fontId="9" fillId="3" borderId="1" xfId="0" applyFont="1" applyFill="1" applyBorder="1" applyAlignment="1">
      <alignment horizontal="left"/>
    </xf>
    <xf numFmtId="0" fontId="9" fillId="3" borderId="33" xfId="0" applyFont="1" applyFill="1" applyBorder="1" applyAlignment="1">
      <alignment horizontal="left"/>
    </xf>
    <xf numFmtId="0" fontId="9" fillId="0" borderId="14" xfId="0" applyFont="1" applyBorder="1" applyAlignment="1" applyProtection="1">
      <alignment horizontal="right"/>
      <protection locked="0"/>
    </xf>
    <xf numFmtId="0" fontId="9" fillId="3" borderId="14" xfId="0" applyFont="1" applyFill="1" applyBorder="1" applyAlignment="1">
      <alignment horizontal="left"/>
    </xf>
    <xf numFmtId="0" fontId="9" fillId="0" borderId="30" xfId="0" applyFont="1" applyBorder="1" applyAlignment="1">
      <alignment horizontal="right"/>
    </xf>
    <xf numFmtId="0" fontId="9" fillId="0" borderId="45" xfId="0" applyFont="1" applyBorder="1" applyAlignment="1">
      <alignment horizontal="right"/>
    </xf>
    <xf numFmtId="0" fontId="9" fillId="0" borderId="26" xfId="0" applyFont="1" applyBorder="1" applyAlignment="1">
      <alignment horizontal="right"/>
    </xf>
    <xf numFmtId="0" fontId="9" fillId="0" borderId="57" xfId="0" applyFont="1" applyBorder="1" applyAlignment="1">
      <alignment horizontal="right"/>
    </xf>
    <xf numFmtId="0" fontId="0" fillId="0" borderId="0" xfId="0" applyBorder="1"/>
    <xf numFmtId="0" fontId="0" fillId="7" borderId="13" xfId="0" applyFill="1" applyBorder="1" applyProtection="1">
      <protection locked="0"/>
    </xf>
    <xf numFmtId="0" fontId="0" fillId="5" borderId="13" xfId="0" applyFill="1" applyBorder="1" applyProtection="1">
      <protection locked="0"/>
    </xf>
    <xf numFmtId="0" fontId="0" fillId="0" borderId="13" xfId="0" applyBorder="1" applyProtection="1">
      <protection locked="0"/>
    </xf>
    <xf numFmtId="0" fontId="0" fillId="0" borderId="40" xfId="0" applyBorder="1" applyProtection="1">
      <protection locked="0"/>
    </xf>
    <xf numFmtId="0" fontId="0" fillId="9" borderId="7" xfId="0" applyFill="1" applyBorder="1"/>
    <xf numFmtId="0" fontId="0" fillId="7" borderId="13" xfId="0" applyFill="1" applyBorder="1"/>
    <xf numFmtId="0" fontId="0" fillId="5" borderId="8" xfId="0" applyFill="1" applyBorder="1"/>
    <xf numFmtId="0" fontId="0" fillId="7" borderId="52" xfId="0" applyFill="1" applyBorder="1"/>
    <xf numFmtId="0" fontId="0" fillId="5" borderId="48" xfId="0" applyFill="1" applyBorder="1"/>
    <xf numFmtId="0" fontId="0" fillId="9" borderId="38" xfId="0" applyFill="1" applyBorder="1" applyProtection="1">
      <protection locked="0"/>
    </xf>
    <xf numFmtId="0" fontId="2" fillId="3" borderId="28"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9" fillId="0" borderId="20" xfId="0" applyFont="1" applyFill="1" applyBorder="1" applyAlignment="1" applyProtection="1">
      <alignment horizontal="right"/>
      <protection locked="0"/>
    </xf>
    <xf numFmtId="0" fontId="9" fillId="0" borderId="1" xfId="0" applyFont="1" applyFill="1" applyBorder="1" applyAlignment="1" applyProtection="1">
      <alignment horizontal="right"/>
      <protection locked="0"/>
    </xf>
    <xf numFmtId="0" fontId="9" fillId="0" borderId="14" xfId="0" applyFont="1" applyFill="1" applyBorder="1" applyAlignment="1" applyProtection="1">
      <alignment horizontal="right"/>
      <protection locked="0"/>
    </xf>
    <xf numFmtId="0" fontId="9" fillId="0" borderId="18" xfId="0" applyFont="1" applyBorder="1" applyAlignment="1" applyProtection="1">
      <alignment horizontal="right"/>
      <protection locked="0"/>
    </xf>
    <xf numFmtId="0" fontId="9" fillId="0" borderId="10" xfId="0" applyFont="1" applyBorder="1" applyAlignment="1" applyProtection="1">
      <alignment horizontal="right"/>
      <protection locked="0"/>
    </xf>
    <xf numFmtId="0" fontId="9" fillId="0" borderId="12" xfId="0" applyFont="1" applyBorder="1" applyAlignment="1" applyProtection="1">
      <alignment horizontal="right"/>
      <protection locked="0"/>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0" xfId="0" applyFont="1" applyFill="1" applyBorder="1" applyAlignment="1">
      <alignment horizontal="left" vertical="center" wrapText="1"/>
    </xf>
    <xf numFmtId="0" fontId="2" fillId="0" borderId="1"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2" fillId="3" borderId="13" xfId="0" applyFont="1" applyFill="1" applyBorder="1" applyAlignment="1">
      <alignment horizontal="center"/>
    </xf>
    <xf numFmtId="0" fontId="2" fillId="3" borderId="17" xfId="0" applyFont="1" applyFill="1" applyBorder="1" applyAlignment="1">
      <alignment horizontal="left"/>
    </xf>
    <xf numFmtId="0" fontId="2" fillId="0" borderId="10" xfId="0" applyFont="1" applyFill="1" applyBorder="1" applyAlignment="1" applyProtection="1">
      <alignment horizontal="left"/>
      <protection locked="0"/>
    </xf>
    <xf numFmtId="0" fontId="2" fillId="3" borderId="9" xfId="0" applyFont="1" applyFill="1" applyBorder="1" applyAlignment="1">
      <alignment horizontal="left"/>
    </xf>
    <xf numFmtId="0" fontId="2" fillId="3" borderId="9" xfId="0" applyFont="1" applyFill="1" applyBorder="1" applyAlignment="1"/>
    <xf numFmtId="0" fontId="2" fillId="3" borderId="9" xfId="0" applyFont="1" applyFill="1" applyBorder="1" applyAlignment="1">
      <alignment horizontal="center"/>
    </xf>
    <xf numFmtId="0" fontId="2" fillId="3" borderId="1" xfId="0" applyFont="1" applyFill="1" applyBorder="1" applyAlignment="1">
      <alignment horizontal="center"/>
    </xf>
    <xf numFmtId="0" fontId="2" fillId="3" borderId="7" xfId="0" applyFont="1" applyFill="1" applyBorder="1" applyAlignment="1"/>
    <xf numFmtId="0" fontId="2" fillId="3" borderId="13" xfId="0" applyFont="1" applyFill="1" applyBorder="1" applyAlignment="1"/>
    <xf numFmtId="0" fontId="2" fillId="0" borderId="10" xfId="0" applyFont="1" applyBorder="1" applyAlignment="1" applyProtection="1">
      <alignment horizontal="right"/>
      <protection locked="0"/>
    </xf>
    <xf numFmtId="0" fontId="4" fillId="0" borderId="0" xfId="0" applyFont="1" applyFill="1" applyBorder="1" applyAlignment="1">
      <alignment horizontal="center"/>
    </xf>
    <xf numFmtId="0" fontId="5" fillId="8" borderId="21" xfId="0" applyFont="1" applyFill="1" applyBorder="1" applyAlignment="1">
      <alignment horizontal="center" vertical="center"/>
    </xf>
    <xf numFmtId="0" fontId="2" fillId="3" borderId="11" xfId="0" applyFont="1" applyFill="1" applyBorder="1" applyAlignment="1">
      <alignment horizontal="left"/>
    </xf>
    <xf numFmtId="0" fontId="5" fillId="8" borderId="22" xfId="0" applyFont="1" applyFill="1" applyBorder="1" applyAlignment="1">
      <alignment horizontal="center" vertical="center" wrapText="1"/>
    </xf>
    <xf numFmtId="0" fontId="0" fillId="3" borderId="21" xfId="0" applyFill="1" applyBorder="1" applyAlignment="1">
      <alignment horizontal="center" vertical="center"/>
    </xf>
    <xf numFmtId="0" fontId="2" fillId="3" borderId="7" xfId="0" applyFont="1" applyFill="1" applyBorder="1" applyAlignment="1">
      <alignment horizontal="left"/>
    </xf>
    <xf numFmtId="0" fontId="2" fillId="0" borderId="0" xfId="0" applyFont="1" applyBorder="1"/>
    <xf numFmtId="0" fontId="2" fillId="0" borderId="0" xfId="0" applyFont="1" applyBorder="1" applyAlignment="1"/>
    <xf numFmtId="0" fontId="2" fillId="0" borderId="0" xfId="0" applyFont="1" applyBorder="1" applyAlignment="1">
      <alignment vertical="center"/>
    </xf>
    <xf numFmtId="0" fontId="2" fillId="0" borderId="0" xfId="0" applyFont="1" applyFill="1" applyBorder="1" applyAlignment="1"/>
    <xf numFmtId="0" fontId="0" fillId="0" borderId="0" xfId="0" applyBorder="1" applyAlignment="1"/>
    <xf numFmtId="0" fontId="14" fillId="0" borderId="0" xfId="0" applyFont="1" applyFill="1" applyBorder="1"/>
    <xf numFmtId="0" fontId="13" fillId="0" borderId="0" xfId="0" applyFont="1" applyFill="1" applyBorder="1" applyAlignment="1"/>
    <xf numFmtId="0" fontId="14" fillId="0" borderId="0" xfId="0" applyFont="1" applyFill="1" applyBorder="1" applyAlignment="1"/>
    <xf numFmtId="0" fontId="2" fillId="3" borderId="28" xfId="0" applyFont="1" applyFill="1" applyBorder="1" applyAlignment="1">
      <alignment vertical="center"/>
    </xf>
    <xf numFmtId="0" fontId="2" fillId="3" borderId="3" xfId="0" applyFont="1" applyFill="1" applyBorder="1" applyAlignment="1">
      <alignment vertical="center"/>
    </xf>
    <xf numFmtId="0" fontId="2" fillId="3" borderId="33" xfId="0" applyFont="1" applyFill="1" applyBorder="1" applyAlignment="1">
      <alignment vertical="center"/>
    </xf>
    <xf numFmtId="0" fontId="2" fillId="3" borderId="13" xfId="0" applyFont="1" applyFill="1" applyBorder="1" applyAlignment="1">
      <alignment vertical="center"/>
    </xf>
    <xf numFmtId="0" fontId="2" fillId="0" borderId="1"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15" fillId="9" borderId="21" xfId="0" applyFont="1" applyFill="1" applyBorder="1" applyAlignment="1">
      <alignment horizontal="center" vertical="center"/>
    </xf>
    <xf numFmtId="0" fontId="15" fillId="9" borderId="22" xfId="0" applyFont="1" applyFill="1" applyBorder="1" applyAlignment="1">
      <alignment horizontal="center" vertical="center"/>
    </xf>
    <xf numFmtId="0" fontId="12" fillId="9" borderId="24" xfId="0" applyFont="1" applyFill="1" applyBorder="1" applyAlignment="1">
      <alignment horizontal="center" vertical="center"/>
    </xf>
    <xf numFmtId="0" fontId="12" fillId="9" borderId="39"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40" xfId="0" applyFont="1" applyFill="1" applyBorder="1" applyAlignment="1">
      <alignment vertical="center"/>
    </xf>
    <xf numFmtId="0" fontId="2" fillId="3" borderId="38" xfId="0" applyFont="1" applyFill="1" applyBorder="1" applyAlignment="1">
      <alignment vertical="center"/>
    </xf>
    <xf numFmtId="0" fontId="14" fillId="0" borderId="0" xfId="0" applyFont="1"/>
    <xf numFmtId="0" fontId="11" fillId="8" borderId="13" xfId="0" applyFont="1" applyFill="1" applyBorder="1" applyAlignment="1">
      <alignment horizontal="center"/>
    </xf>
    <xf numFmtId="0" fontId="2" fillId="3" borderId="22" xfId="0" applyFont="1" applyFill="1" applyBorder="1" applyAlignment="1">
      <alignment horizontal="left" vertical="center"/>
    </xf>
    <xf numFmtId="0" fontId="0" fillId="0" borderId="0" xfId="0" applyFont="1" applyFill="1" applyBorder="1" applyAlignment="1">
      <alignment horizontal="left" vertical="center" wrapText="1"/>
    </xf>
    <xf numFmtId="0" fontId="2" fillId="0" borderId="14"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8" xfId="0" applyFont="1" applyBorder="1" applyAlignment="1" applyProtection="1">
      <alignment horizontal="left"/>
      <protection locked="0"/>
    </xf>
    <xf numFmtId="0" fontId="5" fillId="8" borderId="21" xfId="0" applyFont="1" applyFill="1" applyBorder="1" applyAlignment="1">
      <alignment horizontal="center" vertical="center"/>
    </xf>
    <xf numFmtId="0" fontId="5" fillId="8" borderId="22" xfId="0" applyFont="1" applyFill="1" applyBorder="1" applyAlignment="1">
      <alignment horizontal="center" vertical="center"/>
    </xf>
    <xf numFmtId="0" fontId="11" fillId="8" borderId="1" xfId="0" applyFont="1" applyFill="1" applyBorder="1" applyAlignment="1">
      <alignment horizontal="center"/>
    </xf>
    <xf numFmtId="0" fontId="2" fillId="3" borderId="47" xfId="0" applyFont="1" applyFill="1" applyBorder="1" applyAlignment="1">
      <alignment horizontal="left" vertical="center"/>
    </xf>
    <xf numFmtId="0" fontId="2" fillId="3" borderId="53" xfId="0" applyFont="1" applyFill="1" applyBorder="1" applyAlignment="1">
      <alignment horizontal="left" vertical="center"/>
    </xf>
    <xf numFmtId="0" fontId="11" fillId="0" borderId="0" xfId="0" applyFont="1" applyFill="1" applyBorder="1" applyAlignment="1">
      <alignment horizontal="left"/>
    </xf>
    <xf numFmtId="0" fontId="11" fillId="0" borderId="0" xfId="0" applyFont="1"/>
    <xf numFmtId="0" fontId="11" fillId="0" borderId="0" xfId="0" applyFont="1" applyFill="1" applyBorder="1"/>
    <xf numFmtId="0" fontId="11" fillId="0" borderId="1" xfId="0" applyFont="1" applyFill="1" applyBorder="1"/>
    <xf numFmtId="0" fontId="11" fillId="3" borderId="1" xfId="0" applyFont="1" applyFill="1" applyBorder="1"/>
    <xf numFmtId="0" fontId="5" fillId="3" borderId="51" xfId="0" applyFont="1" applyFill="1" applyBorder="1" applyAlignment="1">
      <alignment horizontal="center"/>
    </xf>
    <xf numFmtId="0" fontId="5" fillId="3" borderId="52" xfId="0" applyFont="1" applyFill="1" applyBorder="1" applyAlignment="1">
      <alignment horizontal="center"/>
    </xf>
    <xf numFmtId="0" fontId="5" fillId="3" borderId="48" xfId="0" applyFont="1" applyFill="1" applyBorder="1" applyAlignment="1">
      <alignment horizontal="center"/>
    </xf>
    <xf numFmtId="0" fontId="11" fillId="3" borderId="17" xfId="0" applyFont="1" applyFill="1" applyBorder="1"/>
    <xf numFmtId="0" fontId="11" fillId="3" borderId="17" xfId="0" applyFont="1" applyFill="1" applyBorder="1" applyAlignment="1">
      <alignment horizontal="center"/>
    </xf>
    <xf numFmtId="0" fontId="11" fillId="3" borderId="20" xfId="0" applyFont="1" applyFill="1" applyBorder="1" applyAlignment="1">
      <alignment horizontal="center"/>
    </xf>
    <xf numFmtId="0" fontId="11" fillId="3" borderId="18" xfId="0" applyFont="1" applyFill="1" applyBorder="1" applyAlignment="1">
      <alignment horizontal="center"/>
    </xf>
    <xf numFmtId="0" fontId="11" fillId="0" borderId="1" xfId="0" applyFont="1" applyFill="1" applyBorder="1" applyAlignment="1"/>
    <xf numFmtId="0" fontId="11" fillId="0" borderId="1" xfId="0" applyFont="1" applyBorder="1"/>
    <xf numFmtId="0" fontId="5" fillId="0" borderId="45" xfId="0" applyFont="1" applyBorder="1"/>
    <xf numFmtId="0" fontId="5" fillId="0" borderId="19" xfId="0" applyFont="1" applyBorder="1" applyAlignment="1">
      <alignment horizontal="right"/>
    </xf>
    <xf numFmtId="0" fontId="5" fillId="0" borderId="28" xfId="0" applyFont="1" applyBorder="1" applyAlignment="1">
      <alignment horizontal="left"/>
    </xf>
    <xf numFmtId="0" fontId="5" fillId="0" borderId="20" xfId="0" applyFont="1" applyBorder="1" applyAlignment="1">
      <alignment horizontal="center"/>
    </xf>
    <xf numFmtId="0" fontId="5" fillId="0" borderId="19" xfId="0" applyFont="1" applyBorder="1" applyAlignment="1">
      <alignment horizontal="center"/>
    </xf>
    <xf numFmtId="0" fontId="11" fillId="3" borderId="9" xfId="0" applyFont="1" applyFill="1" applyBorder="1"/>
    <xf numFmtId="0" fontId="11" fillId="9" borderId="9" xfId="0" applyFont="1" applyFill="1" applyBorder="1" applyAlignment="1">
      <alignment horizontal="center"/>
    </xf>
    <xf numFmtId="0" fontId="11" fillId="0" borderId="1" xfId="0" applyFont="1" applyBorder="1" applyAlignment="1">
      <alignment horizontal="center"/>
    </xf>
    <xf numFmtId="0" fontId="11" fillId="0" borderId="10" xfId="0" applyFont="1" applyBorder="1" applyAlignment="1">
      <alignment horizontal="center"/>
    </xf>
    <xf numFmtId="0" fontId="11" fillId="0" borderId="1" xfId="0" applyFont="1" applyFill="1" applyBorder="1" applyAlignment="1">
      <alignment horizontal="left"/>
    </xf>
    <xf numFmtId="0" fontId="5" fillId="0" borderId="26" xfId="0" applyFont="1" applyBorder="1"/>
    <xf numFmtId="0" fontId="5" fillId="0" borderId="1" xfId="0" applyFont="1" applyBorder="1" applyAlignment="1">
      <alignment horizontal="center"/>
    </xf>
    <xf numFmtId="0" fontId="5" fillId="0" borderId="2" xfId="0" applyFont="1" applyBorder="1" applyAlignment="1">
      <alignment horizontal="center"/>
    </xf>
    <xf numFmtId="0" fontId="11" fillId="3" borderId="11" xfId="0" applyFont="1" applyFill="1" applyBorder="1"/>
    <xf numFmtId="0" fontId="5" fillId="0" borderId="32" xfId="0" applyFont="1" applyBorder="1"/>
    <xf numFmtId="0" fontId="5" fillId="0" borderId="64" xfId="0" applyFont="1" applyBorder="1" applyAlignment="1">
      <alignment horizontal="right"/>
    </xf>
    <xf numFmtId="0" fontId="5" fillId="0" borderId="60" xfId="0" applyFont="1" applyBorder="1" applyAlignment="1">
      <alignment horizontal="left"/>
    </xf>
    <xf numFmtId="0" fontId="5" fillId="0" borderId="14" xfId="0" applyFont="1" applyBorder="1" applyAlignment="1">
      <alignment horizontal="center"/>
    </xf>
    <xf numFmtId="0" fontId="5" fillId="0" borderId="15" xfId="0" applyFont="1" applyBorder="1" applyAlignment="1">
      <alignment horizontal="center"/>
    </xf>
    <xf numFmtId="0" fontId="5" fillId="0" borderId="52" xfId="0" applyFont="1" applyBorder="1" applyAlignment="1">
      <alignment horizontal="center"/>
    </xf>
    <xf numFmtId="0" fontId="11" fillId="3" borderId="51" xfId="0" applyFont="1" applyFill="1" applyBorder="1"/>
    <xf numFmtId="0" fontId="11" fillId="9" borderId="11" xfId="0" applyFont="1" applyFill="1" applyBorder="1" applyAlignment="1">
      <alignment horizontal="center"/>
    </xf>
    <xf numFmtId="0" fontId="11" fillId="0" borderId="14" xfId="0" applyFont="1" applyBorder="1" applyAlignment="1">
      <alignment horizontal="center"/>
    </xf>
    <xf numFmtId="0" fontId="11" fillId="0" borderId="12" xfId="0" applyFont="1" applyBorder="1" applyAlignment="1">
      <alignment horizontal="center"/>
    </xf>
    <xf numFmtId="0" fontId="11" fillId="0" borderId="0" xfId="0" applyFont="1" applyBorder="1"/>
    <xf numFmtId="0" fontId="11" fillId="0" borderId="0" xfId="0" applyFont="1" applyBorder="1" applyAlignment="1"/>
    <xf numFmtId="0" fontId="5" fillId="2" borderId="1" xfId="0" applyFont="1" applyFill="1" applyBorder="1"/>
    <xf numFmtId="0" fontId="5" fillId="0" borderId="2" xfId="0" applyFont="1" applyFill="1" applyBorder="1" applyAlignment="1">
      <alignment horizontal="center"/>
    </xf>
    <xf numFmtId="0" fontId="5" fillId="2" borderId="2" xfId="0" applyFont="1" applyFill="1" applyBorder="1" applyAlignment="1">
      <alignment horizontal="center"/>
    </xf>
    <xf numFmtId="0" fontId="16" fillId="0" borderId="0" xfId="0" applyFont="1" applyBorder="1"/>
    <xf numFmtId="0" fontId="5" fillId="0" borderId="9" xfId="0" applyFont="1" applyBorder="1"/>
    <xf numFmtId="0" fontId="5" fillId="0" borderId="11" xfId="0" applyFont="1" applyBorder="1"/>
    <xf numFmtId="0" fontId="5" fillId="2" borderId="14" xfId="0" applyFont="1" applyFill="1" applyBorder="1"/>
    <xf numFmtId="0" fontId="5" fillId="0" borderId="15" xfId="0" applyFont="1" applyFill="1" applyBorder="1" applyAlignment="1">
      <alignment horizontal="center"/>
    </xf>
    <xf numFmtId="0" fontId="5" fillId="2" borderId="15" xfId="0" applyFont="1" applyFill="1" applyBorder="1" applyAlignment="1">
      <alignment horizontal="center"/>
    </xf>
    <xf numFmtId="0" fontId="5" fillId="0" borderId="57" xfId="0" applyFont="1" applyBorder="1"/>
    <xf numFmtId="0" fontId="5" fillId="0" borderId="64" xfId="0" applyFont="1" applyBorder="1"/>
    <xf numFmtId="0" fontId="5" fillId="0" borderId="60" xfId="0" applyFont="1" applyBorder="1"/>
    <xf numFmtId="0" fontId="5" fillId="2" borderId="60" xfId="0" applyFont="1" applyFill="1" applyBorder="1"/>
    <xf numFmtId="0" fontId="5" fillId="0" borderId="52" xfId="0" applyFont="1" applyFill="1" applyBorder="1" applyAlignment="1">
      <alignment horizontal="center"/>
    </xf>
    <xf numFmtId="0" fontId="5" fillId="2" borderId="64" xfId="0" applyFont="1" applyFill="1" applyBorder="1" applyAlignment="1">
      <alignment horizontal="center"/>
    </xf>
    <xf numFmtId="0" fontId="11" fillId="0" borderId="1" xfId="0" applyFont="1" applyBorder="1" applyAlignment="1">
      <alignment horizontal="right"/>
    </xf>
    <xf numFmtId="0" fontId="11" fillId="0" borderId="1" xfId="0" quotePrefix="1" applyFont="1" applyBorder="1"/>
    <xf numFmtId="0" fontId="11" fillId="0" borderId="1" xfId="0" applyFont="1" applyBorder="1" applyAlignment="1">
      <alignment horizontal="left"/>
    </xf>
    <xf numFmtId="0" fontId="11" fillId="3" borderId="9" xfId="0" applyFont="1" applyFill="1" applyBorder="1" applyAlignment="1">
      <alignment horizontal="center"/>
    </xf>
    <xf numFmtId="0" fontId="11" fillId="3" borderId="1" xfId="0" applyFont="1" applyFill="1" applyBorder="1" applyAlignment="1">
      <alignment horizontal="center"/>
    </xf>
    <xf numFmtId="0" fontId="11" fillId="3" borderId="10" xfId="0" applyFont="1" applyFill="1" applyBorder="1" applyAlignment="1">
      <alignment horizontal="center"/>
    </xf>
    <xf numFmtId="0" fontId="11" fillId="3" borderId="0" xfId="0" applyFont="1" applyFill="1" applyBorder="1" applyAlignment="1">
      <alignment horizontal="center"/>
    </xf>
    <xf numFmtId="0" fontId="11" fillId="3" borderId="2" xfId="0" applyFont="1" applyFill="1" applyBorder="1" applyAlignment="1">
      <alignment horizontal="center"/>
    </xf>
    <xf numFmtId="0" fontId="11" fillId="0" borderId="0" xfId="0" applyFont="1" applyAlignment="1"/>
    <xf numFmtId="0" fontId="11" fillId="0" borderId="0" xfId="0" applyFont="1" applyAlignment="1">
      <alignment horizontal="right"/>
    </xf>
    <xf numFmtId="0" fontId="2" fillId="0" borderId="1"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20"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5" fillId="0" borderId="20"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5" fillId="0" borderId="48" xfId="0" applyFont="1" applyBorder="1" applyAlignment="1" applyProtection="1">
      <alignment horizontal="center"/>
      <protection locked="0"/>
    </xf>
    <xf numFmtId="0" fontId="5" fillId="2" borderId="10" xfId="0" applyFont="1" applyFill="1" applyBorder="1" applyAlignment="1" applyProtection="1">
      <alignment horizontal="center"/>
      <protection locked="0"/>
    </xf>
    <xf numFmtId="0" fontId="5" fillId="2" borderId="12" xfId="0" applyFont="1" applyFill="1" applyBorder="1" applyAlignment="1" applyProtection="1">
      <alignment horizontal="center"/>
      <protection locked="0"/>
    </xf>
    <xf numFmtId="0" fontId="5" fillId="2" borderId="48" xfId="0" applyFont="1" applyFill="1" applyBorder="1" applyAlignment="1" applyProtection="1">
      <alignment horizontal="center"/>
      <protection locked="0"/>
    </xf>
    <xf numFmtId="0" fontId="11" fillId="0" borderId="48" xfId="0" applyFont="1" applyBorder="1" applyProtection="1">
      <protection locked="0"/>
    </xf>
    <xf numFmtId="0" fontId="11" fillId="0" borderId="18" xfId="0" applyFont="1" applyBorder="1" applyProtection="1">
      <protection locked="0"/>
    </xf>
    <xf numFmtId="0" fontId="11" fillId="0" borderId="10" xfId="0" applyFont="1" applyBorder="1" applyProtection="1">
      <protection locked="0"/>
    </xf>
    <xf numFmtId="0" fontId="11" fillId="0" borderId="12" xfId="0" applyFont="1" applyBorder="1" applyProtection="1">
      <protection locked="0"/>
    </xf>
    <xf numFmtId="0" fontId="11" fillId="0" borderId="1" xfId="0" applyFont="1" applyFill="1" applyBorder="1" applyAlignment="1" applyProtection="1">
      <alignment horizontal="center"/>
      <protection locked="0"/>
    </xf>
    <xf numFmtId="0" fontId="11" fillId="0" borderId="1" xfId="0" applyFont="1" applyBorder="1" applyProtection="1">
      <protection locked="0"/>
    </xf>
    <xf numFmtId="0" fontId="11" fillId="0" borderId="9" xfId="0" applyFont="1" applyBorder="1" applyProtection="1">
      <protection locked="0"/>
    </xf>
    <xf numFmtId="0" fontId="11" fillId="0" borderId="11" xfId="0" applyFont="1" applyBorder="1" applyProtection="1">
      <protection locked="0"/>
    </xf>
    <xf numFmtId="0" fontId="11" fillId="0" borderId="14" xfId="0" applyFont="1" applyBorder="1" applyProtection="1">
      <protection locked="0"/>
    </xf>
    <xf numFmtId="0" fontId="11" fillId="0" borderId="9"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1" fillId="0" borderId="1"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1" fillId="0" borderId="10" xfId="0" applyFont="1" applyBorder="1" applyAlignment="1" applyProtection="1">
      <alignment horizontal="center"/>
      <protection locked="0"/>
    </xf>
    <xf numFmtId="0" fontId="11" fillId="0" borderId="11"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9" borderId="13" xfId="0" applyFont="1" applyFill="1" applyBorder="1" applyAlignment="1" applyProtection="1">
      <alignment horizontal="center"/>
      <protection locked="0"/>
    </xf>
    <xf numFmtId="0" fontId="11" fillId="9" borderId="40" xfId="0" applyFont="1" applyFill="1" applyBorder="1" applyAlignment="1" applyProtection="1">
      <alignment horizontal="center"/>
      <protection locked="0"/>
    </xf>
    <xf numFmtId="0" fontId="11" fillId="9" borderId="8" xfId="0"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14" xfId="0" applyFont="1" applyBorder="1" applyAlignment="1" applyProtection="1">
      <alignment horizontal="center"/>
      <protection locked="0"/>
    </xf>
    <xf numFmtId="0" fontId="2" fillId="3" borderId="14" xfId="0" applyFont="1" applyFill="1" applyBorder="1" applyAlignment="1" applyProtection="1">
      <alignment horizontal="left"/>
    </xf>
    <xf numFmtId="0" fontId="2" fillId="3" borderId="20" xfId="0" applyFont="1" applyFill="1" applyBorder="1" applyAlignment="1" applyProtection="1">
      <alignment horizontal="left"/>
    </xf>
    <xf numFmtId="0" fontId="2" fillId="3" borderId="4" xfId="0" applyFont="1" applyFill="1" applyBorder="1" applyAlignment="1" applyProtection="1">
      <alignment horizontal="left"/>
    </xf>
    <xf numFmtId="0" fontId="2" fillId="3" borderId="1" xfId="0" applyFont="1" applyFill="1" applyBorder="1" applyAlignment="1" applyProtection="1">
      <alignment horizontal="left"/>
    </xf>
    <xf numFmtId="0" fontId="5" fillId="0" borderId="0" xfId="0" applyFont="1" applyFill="1" applyBorder="1" applyAlignment="1" applyProtection="1">
      <alignment horizontal="left"/>
    </xf>
    <xf numFmtId="0" fontId="2" fillId="0" borderId="0" xfId="0" applyFont="1" applyFill="1" applyBorder="1" applyProtection="1"/>
    <xf numFmtId="0" fontId="0" fillId="6" borderId="9"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 xfId="0" applyBorder="1" applyAlignment="1" applyProtection="1">
      <alignment horizontal="center"/>
      <protection locked="0"/>
    </xf>
    <xf numFmtId="0" fontId="0" fillId="6" borderId="1" xfId="0" applyFill="1" applyBorder="1" applyAlignment="1" applyProtection="1">
      <alignment horizontal="center"/>
      <protection locked="0"/>
    </xf>
    <xf numFmtId="0" fontId="0" fillId="0" borderId="14" xfId="0" applyBorder="1" applyAlignment="1" applyProtection="1">
      <alignment horizontal="center"/>
      <protection locked="0"/>
    </xf>
    <xf numFmtId="0" fontId="2" fillId="0" borderId="10" xfId="0" applyFont="1" applyFill="1" applyBorder="1" applyAlignment="1" applyProtection="1">
      <alignment horizontal="left"/>
      <protection locked="0"/>
    </xf>
    <xf numFmtId="0" fontId="2" fillId="0" borderId="18" xfId="0" applyFont="1" applyFill="1" applyBorder="1" applyAlignment="1" applyProtection="1">
      <alignment horizontal="left"/>
      <protection locked="0"/>
    </xf>
    <xf numFmtId="0" fontId="2" fillId="0" borderId="1" xfId="0" applyFont="1" applyBorder="1" applyAlignment="1" applyProtection="1">
      <alignment horizontal="right" shrinkToFit="1"/>
      <protection locked="0"/>
    </xf>
    <xf numFmtId="0" fontId="2" fillId="0" borderId="6" xfId="0" applyFont="1" applyBorder="1" applyAlignment="1" applyProtection="1">
      <alignment horizontal="right" shrinkToFit="1"/>
      <protection locked="0"/>
    </xf>
    <xf numFmtId="0" fontId="2" fillId="11" borderId="4" xfId="0" applyFont="1" applyFill="1" applyBorder="1" applyAlignment="1" applyProtection="1">
      <alignment horizontal="left"/>
    </xf>
    <xf numFmtId="0" fontId="2" fillId="11" borderId="1" xfId="0" applyFont="1" applyFill="1" applyBorder="1" applyAlignment="1" applyProtection="1">
      <alignment horizontal="left"/>
    </xf>
    <xf numFmtId="0" fontId="2" fillId="11" borderId="14" xfId="0" applyFont="1" applyFill="1" applyBorder="1" applyAlignment="1" applyProtection="1">
      <alignment horizontal="left"/>
    </xf>
    <xf numFmtId="0" fontId="2" fillId="11" borderId="19" xfId="0" applyFont="1" applyFill="1" applyBorder="1" applyAlignment="1" applyProtection="1">
      <alignment horizontal="right"/>
    </xf>
    <xf numFmtId="0" fontId="2" fillId="11" borderId="28" xfId="0" applyFont="1" applyFill="1" applyBorder="1" applyAlignment="1" applyProtection="1">
      <alignment horizontal="left"/>
    </xf>
    <xf numFmtId="0" fontId="2" fillId="11" borderId="2" xfId="0" applyFont="1" applyFill="1" applyBorder="1" applyAlignment="1" applyProtection="1">
      <alignment horizontal="right"/>
    </xf>
    <xf numFmtId="0" fontId="2" fillId="11" borderId="3" xfId="0" applyFont="1" applyFill="1" applyBorder="1" applyAlignment="1" applyProtection="1">
      <alignment horizontal="left"/>
    </xf>
    <xf numFmtId="0" fontId="2" fillId="11" borderId="10" xfId="0" applyFont="1" applyFill="1" applyBorder="1" applyAlignment="1">
      <alignment horizontal="right"/>
    </xf>
    <xf numFmtId="0" fontId="2" fillId="11" borderId="44" xfId="0" applyFont="1" applyFill="1" applyBorder="1" applyAlignment="1">
      <alignment horizontal="right"/>
    </xf>
    <xf numFmtId="0" fontId="2" fillId="11" borderId="12" xfId="0" applyFont="1" applyFill="1" applyBorder="1" applyAlignment="1" applyProtection="1">
      <alignment horizontal="right"/>
    </xf>
    <xf numFmtId="0" fontId="2" fillId="11" borderId="1" xfId="0" applyFont="1" applyFill="1" applyBorder="1" applyAlignment="1">
      <alignment horizontal="right"/>
    </xf>
    <xf numFmtId="0" fontId="2" fillId="11" borderId="6" xfId="0" applyFont="1" applyFill="1" applyBorder="1" applyAlignment="1">
      <alignment horizontal="right"/>
    </xf>
    <xf numFmtId="0" fontId="2" fillId="11" borderId="14" xfId="0" applyFont="1" applyFill="1" applyBorder="1" applyAlignment="1" applyProtection="1">
      <alignment horizontal="right"/>
    </xf>
    <xf numFmtId="0" fontId="2" fillId="11" borderId="20" xfId="0" applyFont="1" applyFill="1" applyBorder="1" applyAlignment="1">
      <alignment horizontal="right"/>
    </xf>
    <xf numFmtId="0" fontId="2" fillId="11" borderId="14" xfId="0" applyFont="1" applyFill="1" applyBorder="1" applyAlignment="1">
      <alignment horizontal="right"/>
    </xf>
    <xf numFmtId="0" fontId="2" fillId="11" borderId="20" xfId="0" applyFont="1" applyFill="1" applyBorder="1" applyAlignment="1"/>
    <xf numFmtId="0" fontId="2" fillId="11" borderId="1" xfId="0" applyFont="1" applyFill="1" applyBorder="1" applyAlignment="1"/>
    <xf numFmtId="0" fontId="2" fillId="11" borderId="14" xfId="0" applyFont="1" applyFill="1" applyBorder="1" applyAlignment="1"/>
    <xf numFmtId="0" fontId="2" fillId="11" borderId="18" xfId="0" applyFont="1" applyFill="1" applyBorder="1" applyAlignment="1"/>
    <xf numFmtId="0" fontId="2" fillId="11" borderId="10" xfId="0" applyFont="1" applyFill="1" applyBorder="1" applyAlignment="1"/>
    <xf numFmtId="0" fontId="2" fillId="11" borderId="12" xfId="0" applyFont="1" applyFill="1" applyBorder="1" applyAlignment="1"/>
    <xf numFmtId="0" fontId="2" fillId="11" borderId="12" xfId="0" applyFont="1" applyFill="1" applyBorder="1" applyAlignment="1">
      <alignment horizontal="right"/>
    </xf>
    <xf numFmtId="0" fontId="2" fillId="11" borderId="40" xfId="0" applyFont="1" applyFill="1" applyBorder="1" applyAlignment="1"/>
    <xf numFmtId="0" fontId="2" fillId="11" borderId="43" xfId="0" applyFont="1" applyFill="1" applyBorder="1" applyAlignment="1"/>
    <xf numFmtId="0" fontId="2" fillId="11" borderId="10" xfId="0" applyFont="1" applyFill="1" applyBorder="1"/>
    <xf numFmtId="0" fontId="2" fillId="11" borderId="8" xfId="0" applyFont="1" applyFill="1" applyBorder="1" applyAlignment="1"/>
    <xf numFmtId="0" fontId="2" fillId="11" borderId="44" xfId="0" applyFont="1" applyFill="1" applyBorder="1" applyAlignment="1"/>
    <xf numFmtId="0" fontId="2" fillId="11" borderId="8" xfId="0" applyFont="1" applyFill="1" applyBorder="1" applyAlignment="1">
      <alignment horizontal="right"/>
    </xf>
    <xf numFmtId="0" fontId="2" fillId="11" borderId="18" xfId="0" applyFont="1" applyFill="1" applyBorder="1" applyAlignment="1">
      <alignment horizontal="left"/>
    </xf>
    <xf numFmtId="0" fontId="2" fillId="11" borderId="10" xfId="0" applyFont="1" applyFill="1" applyBorder="1" applyAlignment="1">
      <alignment horizontal="left"/>
    </xf>
    <xf numFmtId="0" fontId="2" fillId="11" borderId="12" xfId="0" applyFont="1" applyFill="1" applyBorder="1" applyAlignment="1">
      <alignment horizontal="left"/>
    </xf>
    <xf numFmtId="0" fontId="2" fillId="11" borderId="1" xfId="0" applyFont="1" applyFill="1" applyBorder="1" applyAlignment="1">
      <alignment horizontal="left"/>
    </xf>
    <xf numFmtId="0" fontId="2" fillId="11" borderId="22" xfId="0" applyFont="1" applyFill="1" applyBorder="1" applyAlignment="1">
      <alignment horizontal="center"/>
    </xf>
    <xf numFmtId="0" fontId="2" fillId="11" borderId="22" xfId="0" applyFont="1" applyFill="1" applyBorder="1" applyAlignment="1">
      <alignment shrinkToFit="1"/>
    </xf>
    <xf numFmtId="0" fontId="2" fillId="11" borderId="23" xfId="0" applyFont="1" applyFill="1" applyBorder="1"/>
    <xf numFmtId="0" fontId="2" fillId="11" borderId="19" xfId="0" applyFont="1" applyFill="1" applyBorder="1"/>
    <xf numFmtId="0" fontId="2" fillId="11" borderId="2" xfId="0" applyFont="1" applyFill="1" applyBorder="1"/>
    <xf numFmtId="0" fontId="2" fillId="11" borderId="15" xfId="0" applyFont="1" applyFill="1" applyBorder="1"/>
    <xf numFmtId="0" fontId="2" fillId="11" borderId="1" xfId="0" applyFont="1" applyFill="1" applyBorder="1"/>
    <xf numFmtId="0" fontId="2" fillId="11" borderId="8" xfId="0" applyFont="1" applyFill="1" applyBorder="1"/>
    <xf numFmtId="0" fontId="2" fillId="11" borderId="18" xfId="0" applyFont="1" applyFill="1" applyBorder="1"/>
    <xf numFmtId="0" fontId="2" fillId="11" borderId="12" xfId="0" applyFont="1" applyFill="1" applyBorder="1"/>
    <xf numFmtId="0" fontId="2" fillId="11" borderId="8" xfId="0" applyFont="1" applyFill="1" applyBorder="1" applyAlignment="1">
      <alignment horizontal="left"/>
    </xf>
    <xf numFmtId="0" fontId="0" fillId="11" borderId="20" xfId="0" applyFill="1" applyBorder="1"/>
    <xf numFmtId="0" fontId="0" fillId="11" borderId="1" xfId="0" applyFill="1" applyBorder="1"/>
    <xf numFmtId="0" fontId="0" fillId="11" borderId="18" xfId="0" applyFill="1" applyBorder="1"/>
    <xf numFmtId="0" fontId="0" fillId="11" borderId="10" xfId="0" applyFill="1" applyBorder="1"/>
    <xf numFmtId="0" fontId="0" fillId="11" borderId="44" xfId="0" applyFill="1" applyBorder="1"/>
    <xf numFmtId="0" fontId="2" fillId="11" borderId="48" xfId="0" applyFont="1" applyFill="1" applyBorder="1"/>
    <xf numFmtId="0" fontId="2" fillId="12" borderId="65" xfId="0" applyFont="1" applyFill="1" applyBorder="1" applyAlignment="1" applyProtection="1">
      <alignment vertical="center"/>
      <protection locked="0"/>
    </xf>
    <xf numFmtId="0" fontId="2" fillId="12" borderId="4" xfId="0" applyFont="1" applyFill="1" applyBorder="1" applyAlignment="1" applyProtection="1">
      <alignment vertical="center"/>
      <protection locked="0"/>
    </xf>
    <xf numFmtId="0" fontId="2" fillId="12" borderId="65" xfId="0" applyFont="1" applyFill="1" applyBorder="1" applyAlignment="1" applyProtection="1">
      <alignment vertical="center"/>
    </xf>
    <xf numFmtId="0" fontId="2" fillId="12" borderId="4" xfId="0" applyFont="1" applyFill="1" applyBorder="1" applyAlignment="1" applyProtection="1">
      <alignment vertical="center"/>
    </xf>
    <xf numFmtId="0" fontId="0" fillId="12" borderId="65" xfId="0" applyFill="1" applyBorder="1" applyAlignment="1" applyProtection="1">
      <alignment vertical="center"/>
      <protection locked="0"/>
    </xf>
    <xf numFmtId="0" fontId="0" fillId="12" borderId="65" xfId="0" applyFill="1" applyBorder="1" applyAlignment="1" applyProtection="1">
      <alignment vertical="center"/>
    </xf>
    <xf numFmtId="0" fontId="0" fillId="12" borderId="51" xfId="0" applyFill="1" applyBorder="1" applyAlignment="1" applyProtection="1">
      <alignment vertical="center"/>
    </xf>
    <xf numFmtId="0" fontId="2" fillId="12" borderId="64" xfId="0" applyFont="1" applyFill="1" applyBorder="1" applyAlignment="1" applyProtection="1">
      <alignment vertical="center"/>
    </xf>
    <xf numFmtId="0" fontId="2" fillId="12" borderId="55" xfId="0" applyFont="1" applyFill="1" applyBorder="1" applyAlignment="1" applyProtection="1">
      <alignment vertical="center"/>
      <protection locked="0"/>
    </xf>
    <xf numFmtId="0" fontId="2" fillId="12" borderId="55" xfId="0" applyFont="1" applyFill="1" applyBorder="1" applyAlignment="1" applyProtection="1">
      <alignment vertical="center"/>
    </xf>
    <xf numFmtId="0" fontId="2" fillId="12" borderId="57" xfId="0" applyFont="1" applyFill="1" applyBorder="1" applyAlignment="1" applyProtection="1">
      <alignment vertical="center"/>
      <protection locked="0"/>
    </xf>
    <xf numFmtId="0" fontId="2" fillId="11" borderId="10" xfId="0" applyFont="1" applyFill="1" applyBorder="1" applyAlignment="1">
      <alignment horizontal="left" vertical="center"/>
    </xf>
    <xf numFmtId="0" fontId="2" fillId="11" borderId="12" xfId="0" applyFont="1" applyFill="1" applyBorder="1" applyAlignment="1">
      <alignment horizontal="left" vertical="center"/>
    </xf>
    <xf numFmtId="0" fontId="2" fillId="11" borderId="48" xfId="0" applyFont="1" applyFill="1" applyBorder="1" applyAlignment="1">
      <alignment horizontal="left" vertical="center"/>
    </xf>
    <xf numFmtId="0" fontId="2" fillId="11" borderId="6" xfId="0" applyFont="1" applyFill="1" applyBorder="1" applyAlignment="1">
      <alignment vertical="center"/>
    </xf>
    <xf numFmtId="0" fontId="0" fillId="11" borderId="44" xfId="0" applyFill="1" applyBorder="1" applyAlignment="1">
      <alignment vertical="center"/>
    </xf>
    <xf numFmtId="0" fontId="2" fillId="11" borderId="18" xfId="0" applyFont="1" applyFill="1" applyBorder="1" applyAlignment="1">
      <alignment vertical="center"/>
    </xf>
    <xf numFmtId="0" fontId="2" fillId="11" borderId="20" xfId="0" applyFont="1" applyFill="1" applyBorder="1" applyAlignment="1">
      <alignment vertical="center"/>
    </xf>
    <xf numFmtId="0" fontId="2" fillId="11" borderId="14" xfId="0" applyFont="1" applyFill="1" applyBorder="1" applyAlignment="1">
      <alignment vertical="center"/>
    </xf>
    <xf numFmtId="0" fontId="2" fillId="11" borderId="12" xfId="0" applyFont="1" applyFill="1" applyBorder="1" applyAlignment="1">
      <alignment vertical="center"/>
    </xf>
    <xf numFmtId="0" fontId="0" fillId="11" borderId="9" xfId="0" applyFill="1" applyBorder="1" applyAlignment="1">
      <alignment horizontal="center" vertical="center"/>
    </xf>
    <xf numFmtId="0" fontId="0" fillId="11" borderId="10" xfId="0" applyFill="1" applyBorder="1" applyAlignment="1">
      <alignment horizontal="center"/>
    </xf>
    <xf numFmtId="0" fontId="0" fillId="11" borderId="12" xfId="0" applyFill="1" applyBorder="1" applyAlignment="1">
      <alignment horizontal="center"/>
    </xf>
    <xf numFmtId="0" fontId="2" fillId="11" borderId="52" xfId="0" applyFont="1" applyFill="1" applyBorder="1" applyAlignment="1">
      <alignment horizontal="right"/>
    </xf>
    <xf numFmtId="0" fontId="2" fillId="11" borderId="48" xfId="0" applyFont="1" applyFill="1" applyBorder="1" applyAlignment="1">
      <alignment horizontal="right"/>
    </xf>
    <xf numFmtId="0" fontId="0" fillId="11" borderId="13" xfId="0" applyFill="1" applyBorder="1"/>
    <xf numFmtId="0" fontId="0" fillId="11" borderId="14" xfId="0" applyFill="1" applyBorder="1"/>
    <xf numFmtId="0" fontId="0" fillId="0" borderId="55" xfId="0" applyFont="1" applyBorder="1" applyAlignment="1">
      <alignment horizontal="left" vertical="center" wrapText="1"/>
    </xf>
    <xf numFmtId="0" fontId="0" fillId="0" borderId="0" xfId="0" applyFont="1" applyBorder="1" applyAlignment="1">
      <alignment horizontal="left" vertical="center" wrapText="1"/>
    </xf>
    <xf numFmtId="0" fontId="0" fillId="0" borderId="56" xfId="0" applyFont="1" applyBorder="1" applyAlignment="1">
      <alignment horizontal="left" vertical="center" wrapText="1"/>
    </xf>
    <xf numFmtId="0" fontId="0" fillId="10" borderId="54" xfId="0" applyFont="1" applyFill="1" applyBorder="1" applyAlignment="1">
      <alignment horizontal="left" vertical="center" wrapText="1"/>
    </xf>
    <xf numFmtId="0" fontId="0" fillId="10" borderId="49" xfId="0" applyFont="1" applyFill="1" applyBorder="1" applyAlignment="1">
      <alignment horizontal="left" vertical="center" wrapText="1"/>
    </xf>
    <xf numFmtId="0" fontId="0" fillId="10" borderId="50" xfId="0" applyFont="1" applyFill="1" applyBorder="1" applyAlignment="1">
      <alignment horizontal="left" vertical="center" wrapText="1"/>
    </xf>
    <xf numFmtId="0" fontId="0" fillId="10" borderId="55" xfId="0" applyFont="1" applyFill="1" applyBorder="1" applyAlignment="1">
      <alignment horizontal="left" vertical="center" wrapText="1"/>
    </xf>
    <xf numFmtId="0" fontId="0" fillId="10" borderId="0" xfId="0" applyFont="1" applyFill="1" applyBorder="1" applyAlignment="1">
      <alignment horizontal="left" vertical="center" wrapText="1"/>
    </xf>
    <xf numFmtId="0" fontId="0" fillId="10" borderId="56" xfId="0" applyFont="1" applyFill="1" applyBorder="1" applyAlignment="1">
      <alignment horizontal="left" vertical="center" wrapText="1"/>
    </xf>
    <xf numFmtId="0" fontId="0" fillId="10" borderId="45" xfId="0" applyFont="1" applyFill="1" applyBorder="1" applyAlignment="1">
      <alignment horizontal="left" vertical="center" wrapText="1"/>
    </xf>
    <xf numFmtId="0" fontId="0" fillId="10" borderId="29" xfId="0" applyFont="1" applyFill="1" applyBorder="1" applyAlignment="1">
      <alignment horizontal="left" vertical="center" wrapText="1"/>
    </xf>
    <xf numFmtId="0" fontId="0" fillId="10" borderId="67"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10" borderId="54" xfId="0" applyFill="1" applyBorder="1" applyAlignment="1">
      <alignment horizontal="left" vertical="top" wrapText="1"/>
    </xf>
    <xf numFmtId="0" fontId="0" fillId="10" borderId="49" xfId="0" applyFill="1" applyBorder="1" applyAlignment="1">
      <alignment horizontal="left" vertical="top" wrapText="1"/>
    </xf>
    <xf numFmtId="0" fontId="0" fillId="10" borderId="50" xfId="0" applyFill="1" applyBorder="1" applyAlignment="1">
      <alignment horizontal="left" vertical="top" wrapText="1"/>
    </xf>
    <xf numFmtId="0" fontId="0" fillId="10" borderId="55" xfId="0" applyFill="1" applyBorder="1" applyAlignment="1">
      <alignment horizontal="left" vertical="top" wrapText="1"/>
    </xf>
    <xf numFmtId="0" fontId="0" fillId="10" borderId="0" xfId="0" applyFill="1" applyBorder="1" applyAlignment="1">
      <alignment horizontal="left" vertical="top" wrapText="1"/>
    </xf>
    <xf numFmtId="0" fontId="0" fillId="10" borderId="56" xfId="0" applyFill="1" applyBorder="1" applyAlignment="1">
      <alignment horizontal="left" vertical="top" wrapText="1"/>
    </xf>
    <xf numFmtId="0" fontId="0" fillId="10" borderId="57" xfId="0" applyFill="1" applyBorder="1" applyAlignment="1">
      <alignment horizontal="left" vertical="top" wrapText="1"/>
    </xf>
    <xf numFmtId="0" fontId="0" fillId="10" borderId="58" xfId="0" applyFill="1" applyBorder="1" applyAlignment="1">
      <alignment horizontal="left" vertical="top" wrapText="1"/>
    </xf>
    <xf numFmtId="0" fontId="0" fillId="10" borderId="59" xfId="0" applyFill="1" applyBorder="1" applyAlignment="1">
      <alignment horizontal="left" vertical="top" wrapText="1"/>
    </xf>
    <xf numFmtId="0" fontId="0" fillId="0" borderId="0" xfId="0" applyFont="1" applyAlignment="1">
      <alignment horizontal="left" vertical="center" wrapText="1"/>
    </xf>
    <xf numFmtId="0" fontId="1" fillId="8" borderId="34" xfId="0" applyFont="1" applyFill="1" applyBorder="1" applyAlignment="1">
      <alignment horizontal="center"/>
    </xf>
    <xf numFmtId="0" fontId="1" fillId="8" borderId="35" xfId="0" applyFont="1" applyFill="1" applyBorder="1" applyAlignment="1">
      <alignment horizontal="center"/>
    </xf>
    <xf numFmtId="0" fontId="1" fillId="8" borderId="36" xfId="0" applyFont="1" applyFill="1" applyBorder="1" applyAlignment="1">
      <alignment horizontal="center"/>
    </xf>
    <xf numFmtId="0" fontId="0" fillId="5" borderId="54" xfId="0" applyFont="1" applyFill="1" applyBorder="1" applyAlignment="1">
      <alignment horizontal="left" vertical="center" wrapText="1"/>
    </xf>
    <xf numFmtId="0" fontId="0" fillId="5" borderId="49" xfId="0" applyFont="1" applyFill="1" applyBorder="1" applyAlignment="1">
      <alignment horizontal="left" vertical="center" wrapText="1"/>
    </xf>
    <xf numFmtId="0" fontId="0" fillId="5" borderId="50" xfId="0" applyFont="1" applyFill="1" applyBorder="1" applyAlignment="1">
      <alignment horizontal="left" vertical="center" wrapText="1"/>
    </xf>
    <xf numFmtId="0" fontId="0" fillId="5" borderId="55"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56" xfId="0" applyFont="1" applyFill="1" applyBorder="1" applyAlignment="1">
      <alignment horizontal="left" vertical="center" wrapText="1"/>
    </xf>
    <xf numFmtId="0" fontId="0" fillId="5" borderId="57" xfId="0" applyFont="1" applyFill="1" applyBorder="1" applyAlignment="1">
      <alignment horizontal="left" vertical="center" wrapText="1"/>
    </xf>
    <xf numFmtId="0" fontId="0" fillId="5" borderId="58" xfId="0" applyFont="1" applyFill="1" applyBorder="1" applyAlignment="1">
      <alignment horizontal="left" vertical="center" wrapText="1"/>
    </xf>
    <xf numFmtId="0" fontId="0" fillId="5" borderId="59" xfId="0" applyFont="1" applyFill="1" applyBorder="1" applyAlignment="1">
      <alignment horizontal="left" vertical="center" wrapText="1"/>
    </xf>
    <xf numFmtId="0" fontId="0" fillId="3" borderId="54" xfId="0" applyFont="1" applyFill="1" applyBorder="1" applyAlignment="1">
      <alignment horizontal="left" vertical="center" wrapText="1"/>
    </xf>
    <xf numFmtId="0" fontId="0" fillId="3" borderId="49" xfId="0" applyFont="1" applyFill="1" applyBorder="1" applyAlignment="1">
      <alignment horizontal="left" vertical="center" wrapText="1"/>
    </xf>
    <xf numFmtId="0" fontId="0" fillId="3" borderId="50" xfId="0" applyFont="1" applyFill="1" applyBorder="1" applyAlignment="1">
      <alignment horizontal="left" vertical="center" wrapText="1"/>
    </xf>
    <xf numFmtId="0" fontId="0" fillId="3" borderId="55"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6" xfId="0" applyFont="1" applyFill="1" applyBorder="1" applyAlignment="1">
      <alignment horizontal="left" vertical="center" wrapText="1"/>
    </xf>
    <xf numFmtId="0" fontId="0" fillId="3" borderId="45" xfId="0" applyFont="1" applyFill="1" applyBorder="1" applyAlignment="1">
      <alignment horizontal="left" vertical="center" wrapText="1"/>
    </xf>
    <xf numFmtId="0" fontId="0" fillId="3" borderId="29" xfId="0" applyFont="1" applyFill="1" applyBorder="1" applyAlignment="1">
      <alignment horizontal="left" vertical="center" wrapText="1"/>
    </xf>
    <xf numFmtId="0" fontId="0" fillId="3" borderId="67" xfId="0" applyFont="1" applyFill="1" applyBorder="1" applyAlignment="1">
      <alignment horizontal="left" vertical="center" wrapText="1"/>
    </xf>
    <xf numFmtId="0" fontId="0" fillId="0" borderId="57" xfId="0" applyFont="1" applyBorder="1" applyAlignment="1">
      <alignment horizontal="left" vertical="center" wrapText="1"/>
    </xf>
    <xf numFmtId="0" fontId="0" fillId="0" borderId="58" xfId="0" applyFont="1" applyBorder="1" applyAlignment="1">
      <alignment horizontal="left" vertical="center" wrapText="1"/>
    </xf>
    <xf numFmtId="0" fontId="0" fillId="0" borderId="59" xfId="0" applyFont="1" applyBorder="1" applyAlignment="1">
      <alignment horizontal="left" vertical="center" wrapText="1"/>
    </xf>
    <xf numFmtId="0" fontId="0" fillId="10" borderId="57" xfId="0" applyFont="1" applyFill="1" applyBorder="1" applyAlignment="1">
      <alignment horizontal="left" vertical="center" wrapText="1"/>
    </xf>
    <xf numFmtId="0" fontId="0" fillId="10" borderId="58" xfId="0" applyFont="1" applyFill="1" applyBorder="1" applyAlignment="1">
      <alignment horizontal="left" vertical="center" wrapText="1"/>
    </xf>
    <xf numFmtId="0" fontId="0" fillId="10" borderId="59" xfId="0" applyFont="1" applyFill="1" applyBorder="1" applyAlignment="1">
      <alignment horizontal="left" vertical="center" wrapText="1"/>
    </xf>
    <xf numFmtId="0" fontId="0" fillId="3" borderId="57" xfId="0" applyFont="1" applyFill="1" applyBorder="1" applyAlignment="1">
      <alignment horizontal="left" vertical="center" wrapText="1"/>
    </xf>
    <xf numFmtId="0" fontId="0" fillId="3" borderId="58" xfId="0" applyFont="1" applyFill="1" applyBorder="1" applyAlignment="1">
      <alignment horizontal="left" vertical="center" wrapText="1"/>
    </xf>
    <xf numFmtId="0" fontId="0" fillId="3" borderId="59" xfId="0" applyFont="1" applyFill="1" applyBorder="1" applyAlignment="1">
      <alignment horizontal="left" vertical="center" wrapText="1"/>
    </xf>
    <xf numFmtId="0" fontId="2" fillId="0" borderId="26" xfId="0" applyFont="1" applyBorder="1" applyAlignment="1" applyProtection="1">
      <alignment horizontal="center" shrinkToFit="1"/>
      <protection locked="0"/>
    </xf>
    <xf numFmtId="0" fontId="2" fillId="0" borderId="5" xfId="0" applyFont="1" applyBorder="1" applyAlignment="1" applyProtection="1">
      <alignment horizontal="center" shrinkToFit="1"/>
      <protection locked="0"/>
    </xf>
    <xf numFmtId="0" fontId="2" fillId="0" borderId="5" xfId="0" applyFont="1" applyFill="1" applyBorder="1" applyAlignment="1">
      <alignment horizontal="left"/>
    </xf>
    <xf numFmtId="0" fontId="2" fillId="0" borderId="42" xfId="0" applyFont="1" applyFill="1" applyBorder="1" applyAlignment="1">
      <alignment horizontal="left"/>
    </xf>
    <xf numFmtId="0" fontId="2" fillId="0" borderId="32" xfId="0" applyFont="1" applyBorder="1" applyAlignment="1" applyProtection="1">
      <alignment horizontal="center" shrinkToFit="1"/>
      <protection locked="0"/>
    </xf>
    <xf numFmtId="0" fontId="2" fillId="0" borderId="16" xfId="0" applyFont="1" applyBorder="1" applyAlignment="1" applyProtection="1">
      <alignment horizontal="center" shrinkToFit="1"/>
      <protection locked="0"/>
    </xf>
    <xf numFmtId="0" fontId="2" fillId="0" borderId="16" xfId="0" applyFont="1" applyFill="1" applyBorder="1" applyAlignment="1">
      <alignment horizontal="left"/>
    </xf>
    <xf numFmtId="0" fontId="2" fillId="0" borderId="41" xfId="0" applyFont="1" applyFill="1" applyBorder="1" applyAlignment="1">
      <alignment horizontal="left"/>
    </xf>
    <xf numFmtId="0" fontId="2" fillId="11" borderId="34" xfId="0" applyFont="1" applyFill="1" applyBorder="1" applyAlignment="1">
      <alignment horizontal="right" shrinkToFit="1"/>
    </xf>
    <xf numFmtId="0" fontId="2" fillId="11" borderId="35" xfId="0" applyFont="1" applyFill="1" applyBorder="1" applyAlignment="1">
      <alignment horizontal="right" shrinkToFit="1"/>
    </xf>
    <xf numFmtId="0" fontId="2" fillId="11" borderId="35" xfId="0" applyFont="1" applyFill="1" applyBorder="1" applyAlignment="1">
      <alignment horizontal="left"/>
    </xf>
    <xf numFmtId="0" fontId="2" fillId="11" borderId="36" xfId="0" applyFont="1" applyFill="1" applyBorder="1" applyAlignment="1">
      <alignment horizontal="left"/>
    </xf>
    <xf numFmtId="0" fontId="2" fillId="0" borderId="9"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3" borderId="20" xfId="0" applyFont="1" applyFill="1" applyBorder="1" applyAlignment="1">
      <alignment horizontal="left"/>
    </xf>
    <xf numFmtId="0" fontId="2" fillId="3" borderId="4" xfId="0" applyFont="1" applyFill="1" applyBorder="1" applyAlignment="1" applyProtection="1">
      <alignment horizontal="left"/>
    </xf>
    <xf numFmtId="0" fontId="2" fillId="3" borderId="0" xfId="0" applyFont="1" applyFill="1" applyBorder="1" applyAlignment="1" applyProtection="1">
      <alignment horizontal="left"/>
    </xf>
    <xf numFmtId="0" fontId="2" fillId="3" borderId="2" xfId="0" applyFont="1" applyFill="1" applyBorder="1" applyAlignment="1" applyProtection="1">
      <alignment horizontal="left"/>
    </xf>
    <xf numFmtId="0" fontId="2" fillId="3" borderId="5" xfId="0" applyFont="1" applyFill="1" applyBorder="1" applyAlignment="1" applyProtection="1">
      <alignment horizontal="left"/>
    </xf>
    <xf numFmtId="0" fontId="2" fillId="3" borderId="17" xfId="0" applyFont="1" applyFill="1" applyBorder="1" applyAlignment="1"/>
    <xf numFmtId="0" fontId="2" fillId="3" borderId="20" xfId="0" applyFont="1" applyFill="1" applyBorder="1" applyAlignment="1"/>
    <xf numFmtId="0" fontId="2" fillId="3" borderId="30" xfId="0" applyFont="1" applyFill="1" applyBorder="1" applyAlignment="1">
      <alignment horizontal="left"/>
    </xf>
    <xf numFmtId="0" fontId="2" fillId="3" borderId="31" xfId="0" applyFont="1" applyFill="1" applyBorder="1" applyAlignment="1">
      <alignment horizontal="left"/>
    </xf>
    <xf numFmtId="0" fontId="2" fillId="3" borderId="38" xfId="0" applyFont="1" applyFill="1" applyBorder="1" applyAlignment="1">
      <alignment horizontal="left"/>
    </xf>
    <xf numFmtId="0" fontId="2" fillId="3" borderId="32" xfId="0" applyFont="1" applyFill="1" applyBorder="1" applyAlignment="1">
      <alignment horizontal="left"/>
    </xf>
    <xf numFmtId="0" fontId="2" fillId="3" borderId="16" xfId="0" applyFont="1" applyFill="1" applyBorder="1" applyAlignment="1">
      <alignment horizontal="left"/>
    </xf>
    <xf numFmtId="0" fontId="2" fillId="3" borderId="33" xfId="0" applyFont="1" applyFill="1" applyBorder="1" applyAlignment="1">
      <alignment horizontal="left"/>
    </xf>
    <xf numFmtId="0" fontId="2" fillId="0" borderId="17" xfId="0" applyFont="1" applyBorder="1" applyAlignment="1" applyProtection="1">
      <alignment horizontal="left"/>
      <protection locked="0"/>
    </xf>
    <xf numFmtId="0" fontId="2" fillId="0" borderId="20"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3" borderId="37" xfId="0" applyFont="1" applyFill="1" applyBorder="1" applyAlignment="1">
      <alignment horizontal="center"/>
    </xf>
    <xf numFmtId="0" fontId="2" fillId="3" borderId="24" xfId="0" applyFont="1" applyFill="1" applyBorder="1" applyAlignment="1">
      <alignment horizontal="center"/>
    </xf>
    <xf numFmtId="0" fontId="2" fillId="3" borderId="39" xfId="0" applyFont="1" applyFill="1" applyBorder="1" applyAlignment="1">
      <alignment horizontal="center"/>
    </xf>
    <xf numFmtId="0" fontId="2" fillId="0" borderId="5" xfId="0" applyFont="1" applyBorder="1" applyAlignment="1" applyProtection="1">
      <alignment horizontal="left"/>
      <protection locked="0"/>
    </xf>
    <xf numFmtId="0" fontId="2" fillId="0" borderId="42" xfId="0" applyFont="1" applyBorder="1" applyAlignment="1" applyProtection="1">
      <alignment horizontal="left"/>
      <protection locked="0"/>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43" xfId="0" applyFont="1" applyFill="1" applyBorder="1" applyAlignment="1">
      <alignment horizontal="center"/>
    </xf>
    <xf numFmtId="0" fontId="2" fillId="0" borderId="5"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33" xfId="0" applyFont="1" applyBorder="1" applyAlignment="1" applyProtection="1">
      <alignment horizontal="left"/>
      <protection locked="0"/>
    </xf>
    <xf numFmtId="0" fontId="2" fillId="0" borderId="41" xfId="0" applyFont="1" applyBorder="1" applyAlignment="1" applyProtection="1">
      <alignment horizontal="left"/>
      <protection locked="0"/>
    </xf>
    <xf numFmtId="0" fontId="2" fillId="3" borderId="17" xfId="0" applyFont="1" applyFill="1" applyBorder="1" applyAlignment="1">
      <alignment horizontal="center"/>
    </xf>
    <xf numFmtId="0" fontId="2" fillId="3" borderId="20" xfId="0" applyFont="1" applyFill="1" applyBorder="1" applyAlignment="1">
      <alignment horizontal="center"/>
    </xf>
    <xf numFmtId="0" fontId="2" fillId="3" borderId="18" xfId="0" applyFont="1" applyFill="1" applyBorder="1" applyAlignment="1">
      <alignment horizontal="center"/>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11" borderId="22" xfId="0" applyFont="1" applyFill="1" applyBorder="1" applyAlignment="1">
      <alignment horizontal="center"/>
    </xf>
    <xf numFmtId="0" fontId="2" fillId="3" borderId="1" xfId="0" applyFont="1" applyFill="1" applyBorder="1" applyAlignment="1">
      <alignment horizontal="left"/>
    </xf>
    <xf numFmtId="0" fontId="2" fillId="0" borderId="13"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46"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3" borderId="26" xfId="0" applyFont="1" applyFill="1" applyBorder="1" applyAlignment="1">
      <alignment horizontal="left"/>
    </xf>
    <xf numFmtId="0" fontId="2" fillId="3" borderId="5" xfId="0" applyFont="1" applyFill="1" applyBorder="1" applyAlignment="1">
      <alignment horizontal="left"/>
    </xf>
    <xf numFmtId="0" fontId="2" fillId="3" borderId="3" xfId="0" applyFont="1" applyFill="1" applyBorder="1" applyAlignment="1">
      <alignment horizontal="left"/>
    </xf>
    <xf numFmtId="0" fontId="2" fillId="0" borderId="9"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1" xfId="0" applyFont="1" applyFill="1" applyBorder="1" applyAlignment="1" applyProtection="1">
      <alignment horizontal="center"/>
      <protection locked="0"/>
    </xf>
    <xf numFmtId="0" fontId="2" fillId="3" borderId="32" xfId="0" applyFont="1" applyFill="1" applyBorder="1" applyAlignment="1"/>
    <xf numFmtId="0" fontId="2" fillId="3" borderId="16" xfId="0" applyFont="1" applyFill="1" applyBorder="1" applyAlignment="1"/>
    <xf numFmtId="0" fontId="2" fillId="3" borderId="33" xfId="0" applyFont="1" applyFill="1" applyBorder="1" applyAlignment="1"/>
    <xf numFmtId="0" fontId="1" fillId="8" borderId="49" xfId="0" applyFont="1" applyFill="1" applyBorder="1" applyAlignment="1">
      <alignment horizontal="center"/>
    </xf>
    <xf numFmtId="0" fontId="1" fillId="8" borderId="54" xfId="0" applyFont="1" applyFill="1" applyBorder="1" applyAlignment="1">
      <alignment horizontal="center"/>
    </xf>
    <xf numFmtId="0" fontId="1" fillId="8" borderId="50" xfId="0" applyFont="1" applyFill="1" applyBorder="1" applyAlignment="1">
      <alignment horizontal="center"/>
    </xf>
    <xf numFmtId="0" fontId="2" fillId="0" borderId="30" xfId="0" applyFont="1" applyBorder="1" applyAlignment="1" applyProtection="1">
      <alignment horizontal="left"/>
      <protection locked="0"/>
    </xf>
    <xf numFmtId="0" fontId="2" fillId="0" borderId="31" xfId="0" applyFont="1" applyBorder="1" applyAlignment="1" applyProtection="1">
      <alignment horizontal="left"/>
      <protection locked="0"/>
    </xf>
    <xf numFmtId="0" fontId="2" fillId="0" borderId="43" xfId="0" applyFont="1" applyBorder="1" applyAlignment="1" applyProtection="1">
      <alignment horizontal="left"/>
      <protection locked="0"/>
    </xf>
    <xf numFmtId="0" fontId="2" fillId="0" borderId="26" xfId="0" applyFont="1" applyBorder="1" applyAlignment="1" applyProtection="1">
      <alignment horizontal="left"/>
      <protection locked="0"/>
    </xf>
    <xf numFmtId="0" fontId="2" fillId="3" borderId="6" xfId="0" applyFont="1" applyFill="1" applyBorder="1" applyAlignment="1">
      <alignment horizontal="left"/>
    </xf>
    <xf numFmtId="0" fontId="2" fillId="3" borderId="15" xfId="0" applyFont="1" applyFill="1" applyBorder="1" applyAlignment="1"/>
    <xf numFmtId="0" fontId="2" fillId="3" borderId="14" xfId="0" applyFont="1" applyFill="1" applyBorder="1" applyAlignment="1">
      <alignment horizontal="left"/>
    </xf>
    <xf numFmtId="0" fontId="2" fillId="3" borderId="7" xfId="0" applyFont="1" applyFill="1" applyBorder="1" applyAlignment="1">
      <alignment horizontal="center"/>
    </xf>
    <xf numFmtId="0" fontId="2" fillId="3" borderId="13" xfId="0" applyFont="1" applyFill="1" applyBorder="1" applyAlignment="1">
      <alignment horizontal="center"/>
    </xf>
    <xf numFmtId="0" fontId="0" fillId="11" borderId="0" xfId="0" applyFill="1" applyAlignment="1">
      <alignment horizontal="left"/>
    </xf>
    <xf numFmtId="0" fontId="2" fillId="11" borderId="26" xfId="0" applyFont="1" applyFill="1" applyBorder="1" applyAlignment="1">
      <alignment horizontal="left"/>
    </xf>
    <xf numFmtId="0" fontId="2" fillId="11" borderId="5" xfId="0" applyFont="1" applyFill="1" applyBorder="1" applyAlignment="1">
      <alignment horizontal="left"/>
    </xf>
    <xf numFmtId="0" fontId="2" fillId="11" borderId="3" xfId="0" applyFont="1" applyFill="1" applyBorder="1" applyAlignment="1">
      <alignment horizontal="left"/>
    </xf>
    <xf numFmtId="0" fontId="2" fillId="11" borderId="32" xfId="0" applyFont="1" applyFill="1" applyBorder="1" applyAlignment="1">
      <alignment horizontal="left"/>
    </xf>
    <xf numFmtId="0" fontId="2" fillId="11" borderId="16" xfId="0" applyFont="1" applyFill="1" applyBorder="1" applyAlignment="1">
      <alignment horizontal="left"/>
    </xf>
    <xf numFmtId="0" fontId="2" fillId="11" borderId="33" xfId="0" applyFont="1" applyFill="1" applyBorder="1" applyAlignment="1">
      <alignment horizontal="left"/>
    </xf>
    <xf numFmtId="0" fontId="2" fillId="11" borderId="9" xfId="0" applyFont="1" applyFill="1" applyBorder="1" applyAlignment="1">
      <alignment horizontal="left"/>
    </xf>
    <xf numFmtId="0" fontId="2" fillId="11" borderId="1" xfId="0" applyFont="1" applyFill="1" applyBorder="1" applyAlignment="1">
      <alignment horizontal="left"/>
    </xf>
    <xf numFmtId="0" fontId="2" fillId="3" borderId="26" xfId="0" applyFont="1" applyFill="1" applyBorder="1" applyAlignment="1"/>
    <xf numFmtId="0" fontId="2" fillId="3" borderId="5" xfId="0" applyFont="1" applyFill="1" applyBorder="1" applyAlignment="1"/>
    <xf numFmtId="0" fontId="2" fillId="3" borderId="3" xfId="0" applyFont="1" applyFill="1" applyBorder="1" applyAlignment="1"/>
    <xf numFmtId="0" fontId="2" fillId="0" borderId="35" xfId="0" applyFont="1" applyFill="1" applyBorder="1" applyAlignment="1">
      <alignment horizontal="center"/>
    </xf>
    <xf numFmtId="0" fontId="2" fillId="3" borderId="19" xfId="0" applyFont="1" applyFill="1" applyBorder="1" applyAlignment="1"/>
    <xf numFmtId="0" fontId="2" fillId="3" borderId="29" xfId="0" applyFont="1" applyFill="1" applyBorder="1" applyAlignment="1"/>
    <xf numFmtId="0" fontId="2" fillId="3" borderId="28" xfId="0" applyFont="1" applyFill="1" applyBorder="1" applyAlignment="1"/>
    <xf numFmtId="0" fontId="2" fillId="11" borderId="11" xfId="0" applyFont="1" applyFill="1" applyBorder="1" applyAlignment="1">
      <alignment horizontal="left"/>
    </xf>
    <xf numFmtId="0" fontId="2" fillId="11" borderId="14" xfId="0" applyFont="1" applyFill="1" applyBorder="1" applyAlignment="1">
      <alignment horizontal="left"/>
    </xf>
    <xf numFmtId="0" fontId="2" fillId="3" borderId="2" xfId="0" applyFont="1" applyFill="1" applyBorder="1" applyAlignment="1"/>
    <xf numFmtId="0" fontId="7" fillId="2" borderId="34" xfId="0" applyFont="1" applyFill="1" applyBorder="1" applyAlignment="1">
      <alignment horizontal="center"/>
    </xf>
    <xf numFmtId="0" fontId="7" fillId="2" borderId="35" xfId="0" applyFont="1" applyFill="1" applyBorder="1" applyAlignment="1">
      <alignment horizontal="center"/>
    </xf>
    <xf numFmtId="0" fontId="7" fillId="2" borderId="36" xfId="0" applyFont="1" applyFill="1" applyBorder="1" applyAlignment="1">
      <alignment horizontal="center"/>
    </xf>
    <xf numFmtId="0" fontId="1" fillId="8" borderId="21" xfId="0" applyFont="1" applyFill="1" applyBorder="1" applyAlignment="1">
      <alignment horizontal="center"/>
    </xf>
    <xf numFmtId="0" fontId="1" fillId="8" borderId="23" xfId="0" applyFont="1" applyFill="1" applyBorder="1" applyAlignment="1">
      <alignment horizontal="center"/>
    </xf>
    <xf numFmtId="0" fontId="2" fillId="3" borderId="17" xfId="0" applyFont="1" applyFill="1" applyBorder="1" applyAlignment="1">
      <alignment horizontal="left"/>
    </xf>
    <xf numFmtId="0" fontId="2" fillId="0" borderId="2" xfId="0" applyFont="1" applyFill="1" applyBorder="1" applyAlignment="1" applyProtection="1">
      <alignment horizontal="left"/>
      <protection locked="0"/>
    </xf>
    <xf numFmtId="0" fontId="2" fillId="3" borderId="2" xfId="0" applyFont="1" applyFill="1" applyBorder="1" applyAlignment="1">
      <alignment horizontal="left"/>
    </xf>
    <xf numFmtId="0" fontId="2" fillId="0" borderId="10" xfId="0" applyFont="1" applyFill="1" applyBorder="1" applyAlignment="1" applyProtection="1">
      <alignment horizontal="left"/>
      <protection locked="0"/>
    </xf>
    <xf numFmtId="0" fontId="2" fillId="0" borderId="20" xfId="0" applyFont="1" applyFill="1" applyBorder="1" applyAlignment="1" applyProtection="1">
      <alignment horizontal="left"/>
      <protection locked="0"/>
    </xf>
    <xf numFmtId="0" fontId="2" fillId="0" borderId="18" xfId="0" applyFont="1" applyFill="1" applyBorder="1" applyAlignment="1" applyProtection="1">
      <alignment horizontal="left"/>
      <protection locked="0"/>
    </xf>
    <xf numFmtId="0" fontId="2" fillId="3" borderId="9" xfId="0" applyFont="1" applyFill="1" applyBorder="1" applyAlignment="1">
      <alignment horizontal="left"/>
    </xf>
    <xf numFmtId="0" fontId="4" fillId="0" borderId="49" xfId="0" applyFont="1" applyFill="1" applyBorder="1" applyAlignment="1">
      <alignment horizontal="center"/>
    </xf>
    <xf numFmtId="0" fontId="2" fillId="3" borderId="9" xfId="0" quotePrefix="1" applyFont="1" applyFill="1" applyBorder="1" applyAlignment="1">
      <alignment horizontal="left"/>
    </xf>
    <xf numFmtId="0" fontId="2" fillId="3" borderId="9" xfId="0" applyFont="1" applyFill="1" applyBorder="1" applyAlignment="1"/>
    <xf numFmtId="0" fontId="2" fillId="3" borderId="1" xfId="0" applyFont="1" applyFill="1" applyBorder="1" applyAlignment="1"/>
    <xf numFmtId="0" fontId="2" fillId="3" borderId="46" xfId="0" quotePrefix="1" applyFont="1" applyFill="1" applyBorder="1" applyAlignment="1"/>
    <xf numFmtId="0" fontId="2" fillId="3" borderId="6" xfId="0" applyFont="1" applyFill="1" applyBorder="1" applyAlignment="1"/>
    <xf numFmtId="0" fontId="2" fillId="3" borderId="9" xfId="0" applyFont="1" applyFill="1" applyBorder="1" applyAlignment="1">
      <alignment horizontal="center"/>
    </xf>
    <xf numFmtId="0" fontId="2" fillId="3" borderId="3" xfId="0" applyFont="1" applyFill="1" applyBorder="1" applyAlignment="1">
      <alignment horizontal="center"/>
    </xf>
    <xf numFmtId="0" fontId="2" fillId="3" borderId="1" xfId="0" applyFont="1" applyFill="1" applyBorder="1" applyAlignment="1">
      <alignment horizontal="center"/>
    </xf>
    <xf numFmtId="0" fontId="2" fillId="3" borderId="11" xfId="0" quotePrefix="1" applyFont="1" applyFill="1" applyBorder="1" applyAlignment="1">
      <alignment horizontal="left"/>
    </xf>
    <xf numFmtId="0" fontId="2" fillId="3" borderId="33" xfId="0" quotePrefix="1" applyFont="1" applyFill="1" applyBorder="1" applyAlignment="1">
      <alignment horizontal="left"/>
    </xf>
    <xf numFmtId="0" fontId="2" fillId="3" borderId="14" xfId="0" quotePrefix="1" applyFont="1" applyFill="1" applyBorder="1" applyAlignment="1">
      <alignment horizontal="left"/>
    </xf>
    <xf numFmtId="0" fontId="2" fillId="3" borderId="38" xfId="0" applyFont="1" applyFill="1" applyBorder="1" applyAlignment="1">
      <alignment horizontal="center"/>
    </xf>
    <xf numFmtId="0" fontId="2" fillId="0" borderId="1" xfId="0" quotePrefix="1" applyFont="1" applyFill="1" applyBorder="1" applyAlignment="1" applyProtection="1">
      <alignment horizontal="left"/>
      <protection locked="0"/>
    </xf>
    <xf numFmtId="0" fontId="2" fillId="0" borderId="58" xfId="0" applyFont="1" applyFill="1" applyBorder="1" applyAlignment="1">
      <alignment horizontal="center"/>
    </xf>
    <xf numFmtId="0" fontId="1" fillId="0" borderId="63" xfId="0" applyFont="1" applyFill="1" applyBorder="1" applyAlignment="1">
      <alignment horizontal="center"/>
    </xf>
    <xf numFmtId="0" fontId="2" fillId="11" borderId="40" xfId="0" applyFont="1" applyFill="1" applyBorder="1" applyAlignment="1">
      <alignment horizontal="right"/>
    </xf>
    <xf numFmtId="0" fontId="2" fillId="11" borderId="38" xfId="0" applyFont="1" applyFill="1" applyBorder="1" applyAlignment="1">
      <alignment horizontal="right"/>
    </xf>
    <xf numFmtId="0" fontId="2" fillId="3" borderId="11" xfId="0" applyFont="1" applyFill="1" applyBorder="1" applyAlignment="1"/>
    <xf numFmtId="0" fontId="2" fillId="3" borderId="14" xfId="0" applyFont="1" applyFill="1" applyBorder="1" applyAlignment="1"/>
    <xf numFmtId="0" fontId="2" fillId="3" borderId="1" xfId="0" quotePrefix="1" applyFont="1" applyFill="1" applyBorder="1" applyAlignment="1">
      <alignment horizontal="left"/>
    </xf>
    <xf numFmtId="0" fontId="1" fillId="8" borderId="37" xfId="0" applyFont="1" applyFill="1" applyBorder="1" applyAlignment="1">
      <alignment horizontal="center"/>
    </xf>
    <xf numFmtId="0" fontId="1" fillId="8" borderId="24" xfId="0" applyFont="1" applyFill="1" applyBorder="1" applyAlignment="1">
      <alignment horizontal="center"/>
    </xf>
    <xf numFmtId="0" fontId="1" fillId="8" borderId="39" xfId="0" applyFont="1" applyFill="1" applyBorder="1" applyAlignment="1">
      <alignment horizontal="center"/>
    </xf>
    <xf numFmtId="0" fontId="2" fillId="3" borderId="7" xfId="0" applyFont="1" applyFill="1" applyBorder="1" applyAlignment="1"/>
    <xf numFmtId="0" fontId="2" fillId="3" borderId="13" xfId="0" applyFont="1" applyFill="1" applyBorder="1" applyAlignment="1"/>
    <xf numFmtId="0" fontId="2" fillId="3" borderId="9" xfId="0" quotePrefix="1" applyFont="1" applyFill="1" applyBorder="1" applyAlignment="1"/>
    <xf numFmtId="0" fontId="2" fillId="3" borderId="38" xfId="0" applyFont="1" applyFill="1" applyBorder="1" applyAlignment="1"/>
    <xf numFmtId="0" fontId="2" fillId="0" borderId="1" xfId="0" applyFont="1" applyBorder="1" applyAlignment="1" applyProtection="1">
      <alignment horizontal="right" shrinkToFit="1"/>
      <protection locked="0"/>
    </xf>
    <xf numFmtId="0" fontId="2" fillId="0" borderId="1" xfId="0" applyFont="1" applyFill="1" applyBorder="1" applyAlignment="1" applyProtection="1">
      <alignment horizontal="right" shrinkToFit="1"/>
      <protection locked="0"/>
    </xf>
    <xf numFmtId="0" fontId="2" fillId="0" borderId="10" xfId="0" applyFont="1" applyFill="1" applyBorder="1" applyAlignment="1" applyProtection="1">
      <alignment horizontal="right"/>
      <protection locked="0"/>
    </xf>
    <xf numFmtId="0" fontId="2" fillId="0" borderId="10" xfId="0" applyFont="1" applyBorder="1" applyAlignment="1" applyProtection="1">
      <alignment horizontal="right"/>
      <protection locked="0"/>
    </xf>
    <xf numFmtId="0" fontId="2" fillId="3" borderId="2" xfId="0" quotePrefix="1" applyFont="1" applyFill="1" applyBorder="1" applyAlignment="1">
      <alignment horizontal="left"/>
    </xf>
    <xf numFmtId="0" fontId="2" fillId="3" borderId="5" xfId="0" quotePrefix="1" applyFont="1" applyFill="1" applyBorder="1" applyAlignment="1">
      <alignment horizontal="left"/>
    </xf>
    <xf numFmtId="0" fontId="2" fillId="3" borderId="3" xfId="0" quotePrefix="1" applyFont="1" applyFill="1" applyBorder="1" applyAlignment="1">
      <alignment horizontal="left"/>
    </xf>
    <xf numFmtId="0" fontId="2" fillId="3" borderId="15" xfId="0" applyFont="1" applyFill="1" applyBorder="1" applyAlignment="1">
      <alignment horizontal="left"/>
    </xf>
    <xf numFmtId="0" fontId="2" fillId="11" borderId="19" xfId="0" applyFont="1" applyFill="1" applyBorder="1" applyAlignment="1" applyProtection="1">
      <alignment horizontal="left"/>
    </xf>
    <xf numFmtId="0" fontId="2" fillId="11" borderId="28" xfId="0" applyFont="1" applyFill="1" applyBorder="1" applyAlignment="1" applyProtection="1">
      <alignment horizontal="left"/>
    </xf>
    <xf numFmtId="0" fontId="2" fillId="11" borderId="2" xfId="0" applyFont="1" applyFill="1" applyBorder="1" applyAlignment="1" applyProtection="1">
      <alignment horizontal="left"/>
    </xf>
    <xf numFmtId="0" fontId="2" fillId="11" borderId="3" xfId="0" applyFont="1" applyFill="1" applyBorder="1" applyAlignment="1" applyProtection="1">
      <alignment horizontal="left"/>
    </xf>
    <xf numFmtId="0" fontId="2" fillId="11" borderId="15" xfId="0" applyFont="1" applyFill="1" applyBorder="1" applyAlignment="1" applyProtection="1">
      <alignment horizontal="left"/>
    </xf>
    <xf numFmtId="0" fontId="2" fillId="11" borderId="33" xfId="0" applyFont="1" applyFill="1" applyBorder="1" applyAlignment="1" applyProtection="1">
      <alignment horizontal="left"/>
    </xf>
    <xf numFmtId="0" fontId="2" fillId="0" borderId="14" xfId="0" quotePrefix="1" applyFont="1" applyFill="1" applyBorder="1" applyAlignment="1" applyProtection="1">
      <alignment horizontal="left"/>
      <protection locked="0"/>
    </xf>
    <xf numFmtId="0" fontId="2" fillId="0" borderId="12" xfId="0" quotePrefix="1" applyFont="1" applyFill="1" applyBorder="1" applyAlignment="1" applyProtection="1">
      <alignment horizontal="left"/>
      <protection locked="0"/>
    </xf>
    <xf numFmtId="0" fontId="4" fillId="0" borderId="0" xfId="0" applyFont="1" applyFill="1" applyBorder="1" applyAlignment="1">
      <alignment horizontal="center"/>
    </xf>
    <xf numFmtId="0" fontId="1" fillId="0" borderId="56" xfId="0" applyFont="1" applyFill="1" applyBorder="1" applyAlignment="1">
      <alignment horizontal="center"/>
    </xf>
    <xf numFmtId="0" fontId="2" fillId="0" borderId="49" xfId="0" applyFont="1" applyFill="1" applyBorder="1" applyAlignment="1">
      <alignment horizontal="center"/>
    </xf>
    <xf numFmtId="0" fontId="3" fillId="11" borderId="30" xfId="0" applyFont="1" applyFill="1" applyBorder="1" applyAlignment="1">
      <alignment horizontal="left"/>
    </xf>
    <xf numFmtId="0" fontId="3" fillId="11" borderId="31" xfId="0" applyFont="1" applyFill="1" applyBorder="1" applyAlignment="1">
      <alignment horizontal="left"/>
    </xf>
    <xf numFmtId="0" fontId="2" fillId="11" borderId="45" xfId="0" applyFont="1" applyFill="1" applyBorder="1" applyAlignment="1" applyProtection="1">
      <alignment horizontal="left"/>
    </xf>
    <xf numFmtId="0" fontId="2" fillId="11" borderId="29" xfId="0" applyFont="1" applyFill="1" applyBorder="1" applyAlignment="1" applyProtection="1">
      <alignment horizontal="left"/>
    </xf>
    <xf numFmtId="0" fontId="2" fillId="11" borderId="26" xfId="0" applyFont="1" applyFill="1" applyBorder="1" applyAlignment="1" applyProtection="1">
      <alignment horizontal="left"/>
    </xf>
    <xf numFmtId="0" fontId="2" fillId="11" borderId="5" xfId="0" applyFont="1" applyFill="1" applyBorder="1" applyAlignment="1" applyProtection="1">
      <alignment horizontal="left"/>
    </xf>
    <xf numFmtId="0" fontId="2" fillId="11" borderId="32" xfId="0" applyFont="1" applyFill="1" applyBorder="1" applyAlignment="1" applyProtection="1">
      <alignment horizontal="left"/>
    </xf>
    <xf numFmtId="0" fontId="2" fillId="11" borderId="16" xfId="0" applyFont="1" applyFill="1" applyBorder="1" applyAlignment="1" applyProtection="1">
      <alignment horizontal="left"/>
    </xf>
    <xf numFmtId="0" fontId="2" fillId="0" borderId="32" xfId="0" applyFont="1" applyBorder="1" applyAlignment="1" applyProtection="1">
      <alignment horizontal="left"/>
      <protection locked="0"/>
    </xf>
    <xf numFmtId="0" fontId="2" fillId="3" borderId="15" xfId="0" applyFont="1" applyFill="1" applyBorder="1" applyAlignment="1" applyProtection="1">
      <alignment horizontal="left"/>
    </xf>
    <xf numFmtId="0" fontId="2" fillId="3" borderId="33" xfId="0" applyFont="1" applyFill="1" applyBorder="1" applyAlignment="1" applyProtection="1">
      <alignment horizontal="left"/>
    </xf>
    <xf numFmtId="0" fontId="2" fillId="11" borderId="41" xfId="0" applyFont="1" applyFill="1" applyBorder="1" applyAlignment="1" applyProtection="1">
      <alignment horizontal="left"/>
    </xf>
    <xf numFmtId="0" fontId="3" fillId="11" borderId="29" xfId="0" applyFont="1" applyFill="1" applyBorder="1" applyAlignment="1" applyProtection="1">
      <alignment horizontal="left"/>
    </xf>
    <xf numFmtId="0" fontId="3" fillId="11" borderId="28" xfId="0" applyFont="1" applyFill="1" applyBorder="1" applyAlignment="1" applyProtection="1">
      <alignment horizontal="left"/>
    </xf>
    <xf numFmtId="0" fontId="2" fillId="3" borderId="25" xfId="0" applyFont="1" applyFill="1" applyBorder="1" applyAlignment="1"/>
    <xf numFmtId="0" fontId="2" fillId="3" borderId="27" xfId="0" applyFont="1" applyFill="1" applyBorder="1" applyAlignment="1"/>
    <xf numFmtId="0" fontId="7" fillId="2" borderId="37" xfId="0" applyFont="1" applyFill="1" applyBorder="1" applyAlignment="1">
      <alignment horizontal="center"/>
    </xf>
    <xf numFmtId="0" fontId="7" fillId="2" borderId="24" xfId="0" applyFont="1" applyFill="1" applyBorder="1" applyAlignment="1">
      <alignment horizontal="center"/>
    </xf>
    <xf numFmtId="0" fontId="7" fillId="2" borderId="39" xfId="0" applyFont="1" applyFill="1" applyBorder="1" applyAlignment="1">
      <alignment horizontal="center"/>
    </xf>
    <xf numFmtId="0" fontId="5" fillId="8" borderId="26" xfId="0" applyFont="1" applyFill="1" applyBorder="1" applyAlignment="1">
      <alignment horizontal="center"/>
    </xf>
    <xf numFmtId="0" fontId="5" fillId="8" borderId="42"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2" fillId="12" borderId="9" xfId="0" applyFont="1" applyFill="1" applyBorder="1" applyAlignment="1" applyProtection="1">
      <alignment horizontal="center"/>
      <protection locked="0"/>
    </xf>
    <xf numFmtId="0" fontId="2" fillId="12" borderId="10" xfId="0" applyFont="1" applyFill="1" applyBorder="1" applyAlignment="1" applyProtection="1">
      <alignment horizontal="center"/>
      <protection locked="0"/>
    </xf>
    <xf numFmtId="0" fontId="5" fillId="8" borderId="61" xfId="0" applyFont="1" applyFill="1" applyBorder="1" applyAlignment="1">
      <alignment horizontal="center"/>
    </xf>
    <xf numFmtId="0" fontId="5" fillId="8" borderId="62" xfId="0" applyFont="1" applyFill="1" applyBorder="1" applyAlignment="1">
      <alignment horizontal="center"/>
    </xf>
    <xf numFmtId="0" fontId="5" fillId="8" borderId="26" xfId="0" applyFont="1" applyFill="1" applyBorder="1" applyAlignment="1">
      <alignment horizontal="center" vertical="center"/>
    </xf>
    <xf numFmtId="0" fontId="5" fillId="8" borderId="42" xfId="0" applyFont="1" applyFill="1" applyBorder="1" applyAlignment="1">
      <alignment horizontal="center" vertical="center"/>
    </xf>
    <xf numFmtId="0" fontId="5" fillId="8" borderId="21" xfId="0" applyFont="1" applyFill="1" applyBorder="1" applyAlignment="1">
      <alignment horizontal="center"/>
    </xf>
    <xf numFmtId="0" fontId="5" fillId="8" borderId="23" xfId="0" applyFont="1" applyFill="1" applyBorder="1" applyAlignment="1">
      <alignment horizontal="center"/>
    </xf>
    <xf numFmtId="0" fontId="5" fillId="8" borderId="21" xfId="0" applyFont="1" applyFill="1" applyBorder="1" applyAlignment="1">
      <alignment horizontal="center" vertical="center"/>
    </xf>
    <xf numFmtId="0" fontId="5" fillId="8" borderId="23" xfId="0" applyFont="1" applyFill="1" applyBorder="1" applyAlignment="1">
      <alignment horizontal="center" vertical="center"/>
    </xf>
    <xf numFmtId="0" fontId="5" fillId="4" borderId="51" xfId="0" applyFont="1" applyFill="1" applyBorder="1" applyAlignment="1">
      <alignment horizontal="left"/>
    </xf>
    <xf numFmtId="0" fontId="5" fillId="4" borderId="52" xfId="0" applyFont="1" applyFill="1" applyBorder="1" applyAlignment="1">
      <alignment horizontal="left"/>
    </xf>
    <xf numFmtId="0" fontId="2" fillId="5" borderId="34" xfId="0" applyFont="1" applyFill="1" applyBorder="1" applyAlignment="1">
      <alignment horizontal="center" vertical="center"/>
    </xf>
    <xf numFmtId="0" fontId="2" fillId="5" borderId="53" xfId="0" applyFont="1" applyFill="1" applyBorder="1" applyAlignment="1">
      <alignment horizontal="center" vertical="center"/>
    </xf>
    <xf numFmtId="0" fontId="5" fillId="8" borderId="22" xfId="0" applyFont="1" applyFill="1" applyBorder="1" applyAlignment="1">
      <alignment horizontal="center" vertical="center"/>
    </xf>
    <xf numFmtId="0" fontId="2" fillId="3" borderId="11" xfId="0" applyFont="1" applyFill="1" applyBorder="1" applyAlignment="1">
      <alignment horizontal="left"/>
    </xf>
    <xf numFmtId="0" fontId="5" fillId="8" borderId="21"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0" fillId="3" borderId="17" xfId="0" applyFill="1" applyBorder="1" applyAlignment="1">
      <alignment horizontal="left"/>
    </xf>
    <xf numFmtId="0" fontId="0" fillId="3" borderId="20" xfId="0" applyFill="1" applyBorder="1" applyAlignment="1">
      <alignment horizontal="left"/>
    </xf>
    <xf numFmtId="0" fontId="2" fillId="3" borderId="26" xfId="0" applyFont="1" applyFill="1" applyBorder="1" applyAlignment="1">
      <alignment horizontal="center"/>
    </xf>
    <xf numFmtId="0" fontId="2" fillId="3" borderId="5" xfId="0" applyFont="1" applyFill="1" applyBorder="1" applyAlignment="1">
      <alignment horizontal="center"/>
    </xf>
    <xf numFmtId="0" fontId="6" fillId="2" borderId="32" xfId="0" applyFont="1" applyFill="1" applyBorder="1" applyAlignment="1">
      <alignment horizontal="center"/>
    </xf>
    <xf numFmtId="0" fontId="6" fillId="2" borderId="16" xfId="0" applyFont="1" applyFill="1" applyBorder="1" applyAlignment="1">
      <alignment horizontal="center"/>
    </xf>
    <xf numFmtId="0" fontId="6" fillId="2" borderId="41" xfId="0" applyFont="1" applyFill="1" applyBorder="1" applyAlignment="1">
      <alignment horizontal="center"/>
    </xf>
    <xf numFmtId="0" fontId="5" fillId="8" borderId="47"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36" xfId="0" applyFont="1" applyFill="1" applyBorder="1" applyAlignment="1">
      <alignment horizontal="center" vertical="center"/>
    </xf>
    <xf numFmtId="0" fontId="0" fillId="3" borderId="9" xfId="0" applyFill="1" applyBorder="1" applyAlignment="1">
      <alignment horizontal="left"/>
    </xf>
    <xf numFmtId="0" fontId="0" fillId="3" borderId="1" xfId="0" applyFill="1" applyBorder="1" applyAlignment="1">
      <alignment horizontal="left"/>
    </xf>
    <xf numFmtId="0" fontId="0" fillId="3" borderId="26" xfId="0" applyFill="1" applyBorder="1" applyAlignment="1">
      <alignment horizontal="left"/>
    </xf>
    <xf numFmtId="0" fontId="0" fillId="3" borderId="3" xfId="0" applyFill="1" applyBorder="1" applyAlignment="1">
      <alignment horizontal="left"/>
    </xf>
    <xf numFmtId="0" fontId="0" fillId="0" borderId="7" xfId="0" applyBorder="1" applyAlignment="1">
      <alignment horizontal="left" wrapText="1"/>
    </xf>
    <xf numFmtId="0" fontId="0" fillId="0" borderId="13"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4" xfId="0" applyBorder="1" applyAlignment="1">
      <alignment horizontal="left" wrapText="1"/>
    </xf>
    <xf numFmtId="0" fontId="0" fillId="0" borderId="12" xfId="0" applyBorder="1" applyAlignment="1">
      <alignment horizontal="left" wrapText="1"/>
    </xf>
    <xf numFmtId="0" fontId="0" fillId="3" borderId="46" xfId="0" applyFill="1" applyBorder="1" applyAlignment="1">
      <alignment horizontal="left"/>
    </xf>
    <xf numFmtId="0" fontId="0" fillId="3" borderId="6" xfId="0" applyFill="1" applyBorder="1" applyAlignment="1">
      <alignment horizontal="left"/>
    </xf>
    <xf numFmtId="0" fontId="5" fillId="8" borderId="7" xfId="0" applyFont="1" applyFill="1" applyBorder="1" applyAlignment="1">
      <alignment horizontal="center"/>
    </xf>
    <xf numFmtId="0" fontId="5" fillId="8" borderId="13" xfId="0" applyFont="1" applyFill="1" applyBorder="1" applyAlignment="1">
      <alignment horizontal="center"/>
    </xf>
    <xf numFmtId="0" fontId="5" fillId="8" borderId="11" xfId="0" applyFont="1" applyFill="1" applyBorder="1" applyAlignment="1">
      <alignment horizontal="center"/>
    </xf>
    <xf numFmtId="0" fontId="5" fillId="8" borderId="14" xfId="0" applyFont="1" applyFill="1" applyBorder="1" applyAlignment="1">
      <alignment horizontal="center"/>
    </xf>
    <xf numFmtId="0" fontId="2" fillId="0" borderId="15" xfId="0" applyFont="1" applyBorder="1" applyAlignment="1" applyProtection="1">
      <alignment horizontal="left"/>
      <protection locked="0"/>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9" fillId="0" borderId="29" xfId="0" applyFont="1" applyBorder="1" applyAlignment="1" applyProtection="1">
      <alignment horizontal="left"/>
      <protection locked="0"/>
    </xf>
    <xf numFmtId="0" fontId="9" fillId="0" borderId="28" xfId="0" applyFont="1" applyBorder="1" applyAlignment="1" applyProtection="1">
      <alignment horizontal="left"/>
      <protection locked="0"/>
    </xf>
    <xf numFmtId="0" fontId="9" fillId="3" borderId="1" xfId="0" applyFont="1" applyFill="1" applyBorder="1" applyAlignment="1" applyProtection="1">
      <alignment horizontal="left"/>
      <protection locked="0"/>
    </xf>
    <xf numFmtId="0" fontId="9" fillId="0" borderId="58" xfId="0" applyFont="1" applyBorder="1" applyAlignment="1" applyProtection="1">
      <alignment horizontal="left"/>
      <protection locked="0"/>
    </xf>
    <xf numFmtId="0" fontId="9" fillId="0" borderId="60" xfId="0" applyFont="1" applyBorder="1" applyAlignment="1" applyProtection="1">
      <alignment horizontal="left"/>
      <protection locked="0"/>
    </xf>
    <xf numFmtId="0" fontId="9" fillId="3" borderId="14" xfId="0" applyFont="1" applyFill="1" applyBorder="1" applyAlignment="1" applyProtection="1">
      <alignment horizontal="left"/>
      <protection locked="0"/>
    </xf>
    <xf numFmtId="0" fontId="9" fillId="0" borderId="5" xfId="0" applyFont="1" applyBorder="1" applyAlignment="1" applyProtection="1">
      <alignment horizontal="left"/>
      <protection locked="0"/>
    </xf>
    <xf numFmtId="0" fontId="9" fillId="0" borderId="3" xfId="0" applyFont="1" applyBorder="1" applyAlignment="1" applyProtection="1">
      <alignment horizontal="left"/>
      <protection locked="0"/>
    </xf>
    <xf numFmtId="0" fontId="1" fillId="8" borderId="34" xfId="0" applyFont="1" applyFill="1" applyBorder="1" applyAlignment="1">
      <alignment horizontal="center" wrapText="1"/>
    </xf>
    <xf numFmtId="0" fontId="0" fillId="0" borderId="9" xfId="0" applyBorder="1" applyAlignment="1" applyProtection="1">
      <alignment horizontal="left"/>
      <protection locked="0"/>
    </xf>
    <xf numFmtId="0" fontId="0" fillId="0" borderId="1" xfId="0" applyBorder="1" applyAlignment="1" applyProtection="1">
      <alignment horizontal="left"/>
      <protection locked="0"/>
    </xf>
    <xf numFmtId="0" fontId="0" fillId="0" borderId="10" xfId="0" applyBorder="1" applyAlignment="1" applyProtection="1">
      <alignment horizontal="left"/>
      <protection locked="0"/>
    </xf>
    <xf numFmtId="0" fontId="0" fillId="0" borderId="7" xfId="0" applyFont="1" applyBorder="1" applyAlignment="1" applyProtection="1">
      <alignment horizontal="left"/>
      <protection locked="0"/>
    </xf>
    <xf numFmtId="0" fontId="0" fillId="0" borderId="13" xfId="0" applyFont="1" applyBorder="1" applyAlignment="1" applyProtection="1">
      <alignment horizontal="left"/>
      <protection locked="0"/>
    </xf>
    <xf numFmtId="0" fontId="0" fillId="0" borderId="8" xfId="0" applyFont="1" applyBorder="1" applyAlignment="1" applyProtection="1">
      <alignment horizontal="left"/>
      <protection locked="0"/>
    </xf>
    <xf numFmtId="0" fontId="9" fillId="0" borderId="31" xfId="0" applyFont="1" applyBorder="1" applyAlignment="1" applyProtection="1">
      <alignment horizontal="left"/>
      <protection locked="0"/>
    </xf>
    <xf numFmtId="0" fontId="9" fillId="0" borderId="38" xfId="0" applyFont="1" applyBorder="1" applyAlignment="1" applyProtection="1">
      <alignment horizontal="left"/>
      <protection locked="0"/>
    </xf>
    <xf numFmtId="0" fontId="9" fillId="3" borderId="20" xfId="0" applyFont="1" applyFill="1" applyBorder="1" applyAlignment="1" applyProtection="1">
      <alignment horizontal="left"/>
      <protection locked="0"/>
    </xf>
    <xf numFmtId="0" fontId="0" fillId="0" borderId="11" xfId="0" applyBorder="1" applyAlignment="1" applyProtection="1">
      <alignment horizontal="left"/>
      <protection locked="0"/>
    </xf>
    <xf numFmtId="0" fontId="0" fillId="0" borderId="14" xfId="0" applyBorder="1" applyAlignment="1" applyProtection="1">
      <alignment horizontal="left"/>
      <protection locked="0"/>
    </xf>
    <xf numFmtId="0" fontId="0" fillId="0" borderId="12" xfId="0" applyBorder="1" applyAlignment="1" applyProtection="1">
      <alignment horizontal="left"/>
      <protection locked="0"/>
    </xf>
    <xf numFmtId="0" fontId="0" fillId="0" borderId="7" xfId="0" applyBorder="1" applyAlignment="1" applyProtection="1">
      <alignment horizontal="left"/>
      <protection locked="0"/>
    </xf>
    <xf numFmtId="0" fontId="0" fillId="0" borderId="13" xfId="0" applyBorder="1" applyAlignment="1" applyProtection="1">
      <alignment horizontal="left"/>
      <protection locked="0"/>
    </xf>
    <xf numFmtId="0" fontId="0" fillId="0" borderId="8" xfId="0" applyBorder="1" applyAlignment="1" applyProtection="1">
      <alignment horizontal="left"/>
      <protection locked="0"/>
    </xf>
    <xf numFmtId="0" fontId="2" fillId="0" borderId="1" xfId="0" applyFont="1" applyBorder="1" applyAlignment="1">
      <alignment horizontal="left"/>
    </xf>
    <xf numFmtId="0" fontId="2" fillId="0" borderId="10" xfId="0" applyFont="1" applyBorder="1" applyAlignment="1">
      <alignment horizontal="left"/>
    </xf>
    <xf numFmtId="0" fontId="2" fillId="3" borderId="7" xfId="0" applyFont="1" applyFill="1" applyBorder="1" applyAlignment="1">
      <alignment horizontal="left"/>
    </xf>
    <xf numFmtId="0" fontId="2" fillId="3" borderId="13" xfId="0" applyFont="1" applyFill="1" applyBorder="1" applyAlignment="1">
      <alignment horizontal="left"/>
    </xf>
    <xf numFmtId="0" fontId="2" fillId="0" borderId="13" xfId="0" applyFont="1" applyBorder="1" applyAlignment="1">
      <alignment horizontal="left"/>
    </xf>
    <xf numFmtId="0" fontId="2" fillId="0" borderId="8" xfId="0" applyFont="1" applyBorder="1" applyAlignment="1">
      <alignment horizontal="left"/>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8" fillId="8" borderId="21" xfId="0" applyFont="1" applyFill="1" applyBorder="1" applyAlignment="1">
      <alignment horizontal="center"/>
    </xf>
    <xf numFmtId="0" fontId="8" fillId="8" borderId="22" xfId="0" applyFont="1" applyFill="1" applyBorder="1" applyAlignment="1">
      <alignment horizontal="center"/>
    </xf>
    <xf numFmtId="0" fontId="8" fillId="8" borderId="23" xfId="0" applyFont="1" applyFill="1" applyBorder="1" applyAlignment="1">
      <alignment horizontal="center"/>
    </xf>
    <xf numFmtId="0" fontId="2" fillId="3" borderId="52" xfId="0" applyFont="1" applyFill="1" applyBorder="1" applyAlignment="1">
      <alignment horizontal="left"/>
    </xf>
    <xf numFmtId="0" fontId="1" fillId="8" borderId="22" xfId="0" applyFont="1" applyFill="1" applyBorder="1" applyAlignment="1">
      <alignment horizontal="center"/>
    </xf>
    <xf numFmtId="0" fontId="2" fillId="0" borderId="14" xfId="0" applyFont="1" applyBorder="1" applyAlignment="1">
      <alignment horizontal="left"/>
    </xf>
    <xf numFmtId="0" fontId="2" fillId="0" borderId="12" xfId="0" applyFont="1" applyBorder="1" applyAlignment="1">
      <alignment horizontal="left"/>
    </xf>
    <xf numFmtId="0" fontId="2" fillId="11" borderId="47" xfId="0" applyFont="1" applyFill="1" applyBorder="1" applyAlignment="1">
      <alignment horizontal="right"/>
    </xf>
    <xf numFmtId="0" fontId="2" fillId="11" borderId="53" xfId="0" applyFont="1" applyFill="1" applyBorder="1" applyAlignment="1">
      <alignment horizontal="right"/>
    </xf>
    <xf numFmtId="0" fontId="2" fillId="12" borderId="3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3" borderId="7" xfId="0" applyFont="1" applyFill="1" applyBorder="1" applyAlignment="1">
      <alignment horizontal="center" vertical="center"/>
    </xf>
    <xf numFmtId="0" fontId="2" fillId="3" borderId="13" xfId="0" applyFont="1" applyFill="1" applyBorder="1" applyAlignment="1">
      <alignment horizontal="center" vertical="center"/>
    </xf>
    <xf numFmtId="0" fontId="3" fillId="0" borderId="13" xfId="0" applyFont="1" applyFill="1" applyBorder="1" applyAlignment="1" applyProtection="1">
      <alignment horizontal="left" vertical="center"/>
      <protection locked="0"/>
    </xf>
    <xf numFmtId="0" fontId="2" fillId="12" borderId="31" xfId="0" applyFont="1" applyFill="1" applyBorder="1" applyAlignment="1" applyProtection="1">
      <alignment horizontal="right" vertical="center"/>
      <protection locked="0"/>
    </xf>
    <xf numFmtId="0" fontId="2" fillId="12" borderId="31" xfId="0" quotePrefix="1" applyFont="1" applyFill="1" applyBorder="1" applyAlignment="1" applyProtection="1">
      <alignment horizontal="center" vertical="center"/>
      <protection locked="0"/>
    </xf>
    <xf numFmtId="0" fontId="2" fillId="12" borderId="38" xfId="0" applyFont="1" applyFill="1" applyBorder="1" applyAlignment="1" applyProtection="1">
      <alignment horizontal="center" vertical="center"/>
      <protection locked="0"/>
    </xf>
    <xf numFmtId="0" fontId="0" fillId="0" borderId="55" xfId="0" applyFill="1" applyBorder="1" applyAlignment="1" applyProtection="1">
      <alignment horizontal="center" vertical="center"/>
      <protection locked="0"/>
    </xf>
    <xf numFmtId="0" fontId="0" fillId="0" borderId="66" xfId="0" applyFill="1" applyBorder="1" applyAlignment="1" applyProtection="1">
      <alignment horizontal="center" vertical="center"/>
      <protection locked="0"/>
    </xf>
    <xf numFmtId="0" fontId="0" fillId="0" borderId="57" xfId="0"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2" fillId="0" borderId="4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1" fillId="8" borderId="21" xfId="0" applyFont="1" applyFill="1" applyBorder="1" applyAlignment="1">
      <alignment horizontal="center" vertical="center"/>
    </xf>
    <xf numFmtId="0" fontId="1" fillId="8" borderId="22" xfId="0" applyFont="1" applyFill="1" applyBorder="1" applyAlignment="1">
      <alignment horizontal="center" vertical="center"/>
    </xf>
    <xf numFmtId="0" fontId="1" fillId="8" borderId="23" xfId="0" applyFont="1" applyFill="1" applyBorder="1" applyAlignment="1">
      <alignment horizontal="center" vertical="center"/>
    </xf>
    <xf numFmtId="0" fontId="2" fillId="12" borderId="57" xfId="0" applyFont="1" applyFill="1" applyBorder="1" applyAlignment="1">
      <alignment horizontal="right" vertical="center"/>
    </xf>
    <xf numFmtId="0" fontId="2" fillId="12" borderId="58" xfId="0" applyFont="1" applyFill="1" applyBorder="1" applyAlignment="1">
      <alignment horizontal="right" vertical="center"/>
    </xf>
    <xf numFmtId="0" fontId="0" fillId="0" borderId="49" xfId="0" applyBorder="1" applyAlignment="1">
      <alignment horizontal="center" vertical="center"/>
    </xf>
    <xf numFmtId="0" fontId="0" fillId="0" borderId="50" xfId="0" applyBorder="1" applyAlignment="1">
      <alignment horizontal="center" vertical="center"/>
    </xf>
    <xf numFmtId="0" fontId="2" fillId="11" borderId="14" xfId="0" applyFont="1" applyFill="1" applyBorder="1" applyAlignment="1">
      <alignment horizontal="center" vertical="center"/>
    </xf>
    <xf numFmtId="0" fontId="3" fillId="11" borderId="14" xfId="0" applyFont="1" applyFill="1" applyBorder="1" applyAlignment="1">
      <alignment horizontal="center" vertical="center"/>
    </xf>
    <xf numFmtId="0" fontId="5" fillId="11" borderId="12" xfId="0" applyFont="1" applyFill="1" applyBorder="1" applyAlignment="1">
      <alignment horizontal="center" vertical="center"/>
    </xf>
    <xf numFmtId="0" fontId="2" fillId="11" borderId="1" xfId="0" applyFont="1" applyFill="1" applyBorder="1" applyAlignment="1">
      <alignment horizontal="center" vertical="center"/>
    </xf>
    <xf numFmtId="0" fontId="3" fillId="11" borderId="1" xfId="0" applyFont="1" applyFill="1" applyBorder="1" applyAlignment="1">
      <alignment horizontal="center" vertical="center"/>
    </xf>
    <xf numFmtId="0" fontId="5" fillId="11" borderId="10" xfId="0" applyFont="1" applyFill="1" applyBorder="1" applyAlignment="1">
      <alignment horizontal="center" vertical="center"/>
    </xf>
    <xf numFmtId="0" fontId="2" fillId="3" borderId="14" xfId="0" applyFont="1" applyFill="1" applyBorder="1" applyAlignment="1">
      <alignment horizontal="left" vertical="center"/>
    </xf>
    <xf numFmtId="0" fontId="2" fillId="12" borderId="5" xfId="0" applyFont="1" applyFill="1" applyBorder="1" applyAlignment="1" applyProtection="1">
      <alignment horizontal="left" vertical="center"/>
      <protection locked="0"/>
    </xf>
    <xf numFmtId="0" fontId="2" fillId="12" borderId="3" xfId="0" applyFont="1" applyFill="1" applyBorder="1" applyAlignment="1" applyProtection="1">
      <alignment horizontal="left" vertical="center"/>
      <protection locked="0"/>
    </xf>
    <xf numFmtId="0" fontId="2" fillId="0" borderId="47"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3" borderId="22" xfId="0" applyFont="1" applyFill="1" applyBorder="1" applyAlignment="1">
      <alignment horizontal="left" vertical="center"/>
    </xf>
    <xf numFmtId="0" fontId="2" fillId="3" borderId="32"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3" xfId="0" applyFont="1" applyFill="1" applyBorder="1" applyAlignment="1">
      <alignment horizontal="center" vertical="center"/>
    </xf>
    <xf numFmtId="0" fontId="2" fillId="12" borderId="2" xfId="0" applyFont="1" applyFill="1" applyBorder="1" applyAlignment="1" applyProtection="1">
      <alignment horizontal="left" vertical="center"/>
      <protection locked="0"/>
    </xf>
    <xf numFmtId="0" fontId="2" fillId="3" borderId="2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15" xfId="0" applyFont="1" applyFill="1" applyBorder="1" applyAlignment="1">
      <alignment horizontal="left" vertical="center"/>
    </xf>
    <xf numFmtId="0" fontId="2" fillId="3" borderId="33" xfId="0" applyFont="1" applyFill="1" applyBorder="1" applyAlignment="1">
      <alignment horizontal="left" vertical="center"/>
    </xf>
    <xf numFmtId="0" fontId="2" fillId="12" borderId="38" xfId="0" quotePrefix="1" applyFont="1" applyFill="1" applyBorder="1" applyAlignment="1" applyProtection="1">
      <alignment horizontal="center" vertical="center"/>
      <protection locked="0"/>
    </xf>
    <xf numFmtId="0" fontId="2"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3" fillId="9" borderId="47" xfId="0" applyFont="1" applyFill="1" applyBorder="1" applyAlignment="1">
      <alignment horizontal="center" vertical="center"/>
    </xf>
    <xf numFmtId="0" fontId="3" fillId="9" borderId="5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8" xfId="0" applyFont="1" applyFill="1" applyBorder="1" applyAlignment="1">
      <alignment horizontal="center" vertical="center"/>
    </xf>
    <xf numFmtId="0" fontId="2" fillId="12" borderId="40" xfId="0" applyFont="1" applyFill="1" applyBorder="1" applyAlignment="1" applyProtection="1">
      <alignment horizontal="right" vertical="center"/>
      <protection locked="0"/>
    </xf>
    <xf numFmtId="0" fontId="1" fillId="8" borderId="37" xfId="0" applyFont="1" applyFill="1" applyBorder="1" applyAlignment="1">
      <alignment horizontal="center" vertical="center"/>
    </xf>
    <xf numFmtId="0" fontId="1" fillId="8" borderId="24" xfId="0" applyFont="1" applyFill="1" applyBorder="1" applyAlignment="1">
      <alignment horizontal="center" vertical="center"/>
    </xf>
    <xf numFmtId="0" fontId="1" fillId="8" borderId="39" xfId="0" applyFont="1" applyFill="1" applyBorder="1" applyAlignment="1">
      <alignment horizontal="center" vertical="center"/>
    </xf>
    <xf numFmtId="0" fontId="2" fillId="0" borderId="13" xfId="0" applyFont="1" applyBorder="1" applyAlignment="1" applyProtection="1">
      <alignment horizontal="left" vertical="center"/>
      <protection locked="0"/>
    </xf>
    <xf numFmtId="0" fontId="2" fillId="3" borderId="13"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12" borderId="45" xfId="0" applyFont="1" applyFill="1" applyBorder="1" applyAlignment="1">
      <alignment horizontal="right" vertical="center"/>
    </xf>
    <xf numFmtId="0" fontId="2" fillId="12" borderId="29" xfId="0" applyFont="1" applyFill="1" applyBorder="1" applyAlignment="1">
      <alignment horizontal="right" vertical="center"/>
    </xf>
    <xf numFmtId="0" fontId="2" fillId="3" borderId="20"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3" borderId="19" xfId="0" applyFont="1" applyFill="1" applyBorder="1" applyAlignment="1">
      <alignment horizontal="left" vertical="center"/>
    </xf>
    <xf numFmtId="0" fontId="2" fillId="3" borderId="28" xfId="0" applyFont="1" applyFill="1" applyBorder="1" applyAlignment="1">
      <alignment horizontal="left" vertical="center"/>
    </xf>
    <xf numFmtId="0" fontId="2" fillId="12" borderId="16" xfId="0" applyFont="1" applyFill="1" applyBorder="1" applyAlignment="1" applyProtection="1">
      <alignment horizontal="left" vertical="center"/>
      <protection locked="0"/>
    </xf>
    <xf numFmtId="0" fontId="2" fillId="12" borderId="33" xfId="0" applyFont="1" applyFill="1" applyBorder="1" applyAlignment="1" applyProtection="1">
      <alignment horizontal="left" vertical="center"/>
      <protection locked="0"/>
    </xf>
    <xf numFmtId="0" fontId="2" fillId="3" borderId="40" xfId="0" applyFont="1" applyFill="1" applyBorder="1" applyAlignment="1">
      <alignment horizontal="left" vertical="center"/>
    </xf>
    <xf numFmtId="0" fontId="2" fillId="3" borderId="31" xfId="0" applyFont="1" applyFill="1" applyBorder="1" applyAlignment="1">
      <alignment horizontal="left" vertical="center"/>
    </xf>
    <xf numFmtId="0" fontId="2" fillId="3" borderId="38" xfId="0" applyFont="1" applyFill="1" applyBorder="1" applyAlignment="1">
      <alignment horizontal="left" vertical="center"/>
    </xf>
    <xf numFmtId="0" fontId="2" fillId="3" borderId="5" xfId="0" applyFont="1" applyFill="1" applyBorder="1" applyAlignment="1">
      <alignment horizontal="left" vertical="center"/>
    </xf>
    <xf numFmtId="0" fontId="2" fillId="3" borderId="16" xfId="0" applyFont="1" applyFill="1" applyBorder="1" applyAlignment="1">
      <alignment horizontal="left" vertical="center"/>
    </xf>
    <xf numFmtId="0" fontId="2" fillId="12" borderId="29" xfId="0" applyFont="1" applyFill="1" applyBorder="1" applyAlignment="1" applyProtection="1">
      <alignment horizontal="left" vertical="center"/>
      <protection locked="0"/>
    </xf>
    <xf numFmtId="0" fontId="2" fillId="12" borderId="28" xfId="0" applyFont="1" applyFill="1" applyBorder="1" applyAlignment="1" applyProtection="1">
      <alignment horizontal="left" vertical="center"/>
      <protection locked="0"/>
    </xf>
    <xf numFmtId="0" fontId="2" fillId="9" borderId="20" xfId="0" applyFont="1" applyFill="1" applyBorder="1" applyAlignment="1">
      <alignment horizontal="center" vertical="center" wrapText="1"/>
    </xf>
    <xf numFmtId="0" fontId="2" fillId="9" borderId="20"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18"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11" borderId="10" xfId="0" applyFont="1" applyFill="1" applyBorder="1" applyAlignment="1">
      <alignment horizontal="center" vertical="center"/>
    </xf>
    <xf numFmtId="0" fontId="2" fillId="3" borderId="1" xfId="0" applyFont="1" applyFill="1" applyBorder="1" applyAlignment="1">
      <alignment horizontal="left" vertical="center"/>
    </xf>
    <xf numFmtId="0" fontId="2" fillId="3" borderId="9" xfId="0" applyFont="1" applyFill="1" applyBorder="1" applyAlignment="1">
      <alignment horizontal="left" vertical="center"/>
    </xf>
    <xf numFmtId="0" fontId="1" fillId="8" borderId="34" xfId="0" applyFont="1" applyFill="1" applyBorder="1" applyAlignment="1">
      <alignment horizontal="center" vertical="center"/>
    </xf>
    <xf numFmtId="0" fontId="1" fillId="8" borderId="35" xfId="0" applyFont="1" applyFill="1" applyBorder="1" applyAlignment="1">
      <alignment horizontal="center" vertical="center"/>
    </xf>
    <xf numFmtId="0" fontId="1" fillId="8" borderId="36" xfId="0" applyFont="1" applyFill="1" applyBorder="1" applyAlignment="1">
      <alignment horizontal="center" vertical="center"/>
    </xf>
    <xf numFmtId="0" fontId="2" fillId="9" borderId="55"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66"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20" xfId="0" applyFont="1" applyFill="1" applyBorder="1" applyAlignment="1">
      <alignment horizontal="center" vertical="center"/>
    </xf>
    <xf numFmtId="0" fontId="2" fillId="11" borderId="57" xfId="0" applyFont="1" applyFill="1" applyBorder="1" applyAlignment="1">
      <alignment horizontal="right" vertical="center"/>
    </xf>
    <xf numFmtId="0" fontId="2" fillId="11" borderId="58" xfId="0" applyFont="1" applyFill="1" applyBorder="1" applyAlignment="1">
      <alignment horizontal="right" vertical="center"/>
    </xf>
    <xf numFmtId="0" fontId="0" fillId="0" borderId="61"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2" fillId="11" borderId="58" xfId="0" applyFont="1" applyFill="1" applyBorder="1" applyAlignment="1">
      <alignment horizontal="left" vertical="center"/>
    </xf>
    <xf numFmtId="0" fontId="2" fillId="11" borderId="59" xfId="0" applyFont="1" applyFill="1" applyBorder="1" applyAlignment="1">
      <alignment horizontal="left" vertical="center"/>
    </xf>
    <xf numFmtId="0" fontId="3" fillId="9" borderId="7" xfId="0" applyFont="1" applyFill="1" applyBorder="1" applyAlignment="1">
      <alignment horizontal="center" vertical="center"/>
    </xf>
    <xf numFmtId="0" fontId="3" fillId="9" borderId="13" xfId="0" applyFont="1" applyFill="1" applyBorder="1" applyAlignment="1">
      <alignment horizontal="center" vertical="center"/>
    </xf>
    <xf numFmtId="0" fontId="3" fillId="9" borderId="8" xfId="0" applyFont="1" applyFill="1" applyBorder="1" applyAlignment="1">
      <alignment horizontal="center" vertical="center"/>
    </xf>
    <xf numFmtId="0" fontId="2" fillId="3" borderId="11" xfId="0" applyFont="1" applyFill="1" applyBorder="1" applyAlignment="1">
      <alignment horizontal="left" vertical="center"/>
    </xf>
    <xf numFmtId="0" fontId="2" fillId="3" borderId="51" xfId="0" applyFont="1" applyFill="1" applyBorder="1" applyAlignment="1">
      <alignment horizontal="left" vertical="center"/>
    </xf>
    <xf numFmtId="0" fontId="2" fillId="3" borderId="52" xfId="0" applyFont="1" applyFill="1" applyBorder="1" applyAlignment="1">
      <alignment horizontal="left" vertical="center"/>
    </xf>
    <xf numFmtId="0" fontId="7" fillId="2" borderId="55" xfId="0" applyFont="1" applyFill="1" applyBorder="1" applyAlignment="1">
      <alignment horizontal="center" vertical="center"/>
    </xf>
    <xf numFmtId="0" fontId="7" fillId="2" borderId="0" xfId="0" applyFont="1" applyFill="1" applyBorder="1" applyAlignment="1">
      <alignment horizontal="center" vertical="center"/>
    </xf>
    <xf numFmtId="0" fontId="3" fillId="9" borderId="3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53"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63" xfId="0" applyFont="1" applyBorder="1" applyAlignment="1">
      <alignment horizontal="center" vertical="center"/>
    </xf>
    <xf numFmtId="0" fontId="0" fillId="0" borderId="58" xfId="0" applyBorder="1" applyAlignment="1">
      <alignment horizontal="center" vertical="center"/>
    </xf>
    <xf numFmtId="0" fontId="0" fillId="0" borderId="35" xfId="0" applyBorder="1" applyAlignment="1">
      <alignment horizontal="center" vertical="center"/>
    </xf>
    <xf numFmtId="0" fontId="2" fillId="12" borderId="15" xfId="0" applyFont="1" applyFill="1" applyBorder="1" applyAlignment="1" applyProtection="1">
      <alignment horizontal="left" vertical="center"/>
      <protection locked="0"/>
    </xf>
    <xf numFmtId="0" fontId="2" fillId="3" borderId="15" xfId="0" applyFont="1" applyFill="1" applyBorder="1" applyAlignment="1">
      <alignment horizontal="center" vertical="center"/>
    </xf>
    <xf numFmtId="0" fontId="0" fillId="0" borderId="54"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0" borderId="55" xfId="0" applyBorder="1" applyAlignment="1">
      <alignment horizontal="left" vertical="top" wrapText="1"/>
    </xf>
    <xf numFmtId="0" fontId="0" fillId="0" borderId="0"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0" fillId="0" borderId="55" xfId="0" applyBorder="1" applyAlignment="1">
      <alignment horizontal="left" vertical="center" wrapText="1"/>
    </xf>
    <xf numFmtId="0" fontId="0" fillId="0" borderId="0"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54"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11" fillId="8" borderId="30" xfId="0" applyFont="1" applyFill="1" applyBorder="1" applyAlignment="1">
      <alignment horizontal="center"/>
    </xf>
    <xf numFmtId="0" fontId="11" fillId="8" borderId="31" xfId="0" applyFont="1" applyFill="1" applyBorder="1" applyAlignment="1">
      <alignment horizontal="center"/>
    </xf>
    <xf numFmtId="0" fontId="11" fillId="8" borderId="38" xfId="0" applyFont="1" applyFill="1" applyBorder="1" applyAlignment="1">
      <alignment horizontal="center"/>
    </xf>
    <xf numFmtId="0" fontId="11" fillId="8" borderId="7" xfId="0" applyFont="1" applyFill="1" applyBorder="1" applyAlignment="1">
      <alignment horizontal="center"/>
    </xf>
    <xf numFmtId="0" fontId="11" fillId="8" borderId="8" xfId="0" applyFont="1" applyFill="1" applyBorder="1" applyAlignment="1">
      <alignment horizontal="center"/>
    </xf>
    <xf numFmtId="0" fontId="5" fillId="3" borderId="52" xfId="0" applyFont="1" applyFill="1" applyBorder="1" applyAlignment="1">
      <alignment horizontal="center"/>
    </xf>
    <xf numFmtId="0" fontId="11" fillId="8" borderId="21" xfId="0" applyFont="1" applyFill="1" applyBorder="1" applyAlignment="1">
      <alignment horizontal="center"/>
    </xf>
    <xf numFmtId="0" fontId="11" fillId="8" borderId="23" xfId="0" applyFont="1" applyFill="1" applyBorder="1" applyAlignment="1">
      <alignment horizontal="center"/>
    </xf>
    <xf numFmtId="0" fontId="11" fillId="8" borderId="34" xfId="0" applyFont="1" applyFill="1" applyBorder="1" applyAlignment="1">
      <alignment horizontal="center"/>
    </xf>
    <xf numFmtId="0" fontId="11" fillId="8" borderId="35" xfId="0" applyFont="1" applyFill="1" applyBorder="1" applyAlignment="1">
      <alignment horizontal="center"/>
    </xf>
    <xf numFmtId="0" fontId="11" fillId="8" borderId="36" xfId="0" applyFont="1" applyFill="1" applyBorder="1" applyAlignment="1">
      <alignment horizontal="center"/>
    </xf>
    <xf numFmtId="0" fontId="11" fillId="8" borderId="1" xfId="0" applyFont="1" applyFill="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15" xfId="0" applyFont="1" applyBorder="1" applyAlignment="1">
      <alignment horizontal="center"/>
    </xf>
    <xf numFmtId="0" fontId="5" fillId="0" borderId="33"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542708"/>
      <color rgb="FF3C1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bat!$AH$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Combat!$AH$20"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Combat!$AH$4"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checked="Checked" firstButton="1" fmlaLink="Combat!$T$53"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Combat!$V$53"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Combat!$AH$5"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checked="Checked" firstButton="1" fmlaLink="Combat!$R$4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Combat!$AH$9" lockText="1" noThreeD="1"/>
</file>

<file path=xl/ctrlProps/ctrlProp36.xml><?xml version="1.0" encoding="utf-8"?>
<formControlPr xmlns="http://schemas.microsoft.com/office/spreadsheetml/2009/9/main" objectType="CheckBox" fmlaLink="Combat!$AH$10" lockText="1" noThreeD="1"/>
</file>

<file path=xl/ctrlProps/ctrlProp37.xml><?xml version="1.0" encoding="utf-8"?>
<formControlPr xmlns="http://schemas.microsoft.com/office/spreadsheetml/2009/9/main" objectType="CheckBox" fmlaLink="Combat!$AH$11" lockText="1" noThreeD="1"/>
</file>

<file path=xl/ctrlProps/ctrlProp38.xml><?xml version="1.0" encoding="utf-8"?>
<formControlPr xmlns="http://schemas.microsoft.com/office/spreadsheetml/2009/9/main" objectType="CheckBox" fmlaLink="Combat!$AH$12" lockText="1" noThreeD="1"/>
</file>

<file path=xl/ctrlProps/ctrlProp39.xml><?xml version="1.0" encoding="utf-8"?>
<formControlPr xmlns="http://schemas.microsoft.com/office/spreadsheetml/2009/9/main" objectType="CheckBox" fmlaLink="Combat!$AH$13" lockText="1" noThreeD="1"/>
</file>

<file path=xl/ctrlProps/ctrlProp4.xml><?xml version="1.0" encoding="utf-8"?>
<formControlPr xmlns="http://schemas.microsoft.com/office/spreadsheetml/2009/9/main" objectType="CheckBox" fmlaLink="Combat!$AH$6" lockText="1" noThreeD="1"/>
</file>

<file path=xl/ctrlProps/ctrlProp40.xml><?xml version="1.0" encoding="utf-8"?>
<formControlPr xmlns="http://schemas.microsoft.com/office/spreadsheetml/2009/9/main" objectType="CheckBox" fmlaLink="Combat!$AH$14" lockText="1" noThreeD="1"/>
</file>

<file path=xl/ctrlProps/ctrlProp41.xml><?xml version="1.0" encoding="utf-8"?>
<formControlPr xmlns="http://schemas.microsoft.com/office/spreadsheetml/2009/9/main" objectType="CheckBox" fmlaLink="Combat!$AH$15" lockText="1" noThreeD="1"/>
</file>

<file path=xl/ctrlProps/ctrlProp42.xml><?xml version="1.0" encoding="utf-8"?>
<formControlPr xmlns="http://schemas.microsoft.com/office/spreadsheetml/2009/9/main" objectType="CheckBox" fmlaLink="Combat!$AH$16" lockText="1" noThreeD="1"/>
</file>

<file path=xl/ctrlProps/ctrlProp43.xml><?xml version="1.0" encoding="utf-8"?>
<formControlPr xmlns="http://schemas.microsoft.com/office/spreadsheetml/2009/9/main" objectType="CheckBox" fmlaLink="Combat!$AH$17" lockText="1" noThreeD="1"/>
</file>

<file path=xl/ctrlProps/ctrlProp44.xml><?xml version="1.0" encoding="utf-8"?>
<formControlPr xmlns="http://schemas.microsoft.com/office/spreadsheetml/2009/9/main" objectType="CheckBox" fmlaLink="Combat!$AH$18" lockText="1" noThreeD="1"/>
</file>

<file path=xl/ctrlProps/ctrlProp45.xml><?xml version="1.0" encoding="utf-8"?>
<formControlPr xmlns="http://schemas.microsoft.com/office/spreadsheetml/2009/9/main" objectType="CheckBox" fmlaLink="Combat!$AH$19" lockText="1" noThreeD="1"/>
</file>

<file path=xl/ctrlProps/ctrlProp5.xml><?xml version="1.0" encoding="utf-8"?>
<formControlPr xmlns="http://schemas.microsoft.com/office/spreadsheetml/2009/9/main" objectType="CheckBox" fmlaLink="Combat!$AH$7" lockText="1" noThreeD="1"/>
</file>

<file path=xl/ctrlProps/ctrlProp6.xml><?xml version="1.0" encoding="utf-8"?>
<formControlPr xmlns="http://schemas.microsoft.com/office/spreadsheetml/2009/9/main" objectType="CheckBox" fmlaLink="Combat!$AH$8"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5</xdr:row>
          <xdr:rowOff>0</xdr:rowOff>
        </xdr:from>
        <xdr:to>
          <xdr:col>10</xdr:col>
          <xdr:colOff>76200</xdr:colOff>
          <xdr:row>6</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6</xdr:row>
          <xdr:rowOff>0</xdr:rowOff>
        </xdr:from>
        <xdr:to>
          <xdr:col>10</xdr:col>
          <xdr:colOff>76200</xdr:colOff>
          <xdr:row>7</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xdr:row>
          <xdr:rowOff>0</xdr:rowOff>
        </xdr:from>
        <xdr:to>
          <xdr:col>10</xdr:col>
          <xdr:colOff>76200</xdr:colOff>
          <xdr:row>8</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xdr:row>
          <xdr:rowOff>0</xdr:rowOff>
        </xdr:from>
        <xdr:to>
          <xdr:col>10</xdr:col>
          <xdr:colOff>76200</xdr:colOff>
          <xdr:row>9</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xdr:row>
          <xdr:rowOff>0</xdr:rowOff>
        </xdr:from>
        <xdr:to>
          <xdr:col>10</xdr:col>
          <xdr:colOff>76200</xdr:colOff>
          <xdr:row>10</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xdr:row>
          <xdr:rowOff>0</xdr:rowOff>
        </xdr:from>
        <xdr:to>
          <xdr:col>10</xdr:col>
          <xdr:colOff>76200</xdr:colOff>
          <xdr:row>11</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10</xdr:col>
          <xdr:colOff>76200</xdr:colOff>
          <xdr:row>12</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0</xdr:rowOff>
        </xdr:from>
        <xdr:to>
          <xdr:col>10</xdr:col>
          <xdr:colOff>76200</xdr:colOff>
          <xdr:row>13</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0</xdr:rowOff>
        </xdr:from>
        <xdr:to>
          <xdr:col>10</xdr:col>
          <xdr:colOff>76200</xdr:colOff>
          <xdr:row>14</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76200</xdr:colOff>
          <xdr:row>15</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76200</xdr:colOff>
          <xdr:row>16</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76200</xdr:colOff>
          <xdr:row>17</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76200</xdr:colOff>
          <xdr:row>18</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0</xdr:rowOff>
        </xdr:from>
        <xdr:to>
          <xdr:col>10</xdr:col>
          <xdr:colOff>76200</xdr:colOff>
          <xdr:row>19</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10</xdr:col>
          <xdr:colOff>76200</xdr:colOff>
          <xdr:row>20</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0</xdr:rowOff>
        </xdr:from>
        <xdr:to>
          <xdr:col>10</xdr:col>
          <xdr:colOff>76200</xdr:colOff>
          <xdr:row>21</xdr:row>
          <xdr:rowOff>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0</xdr:rowOff>
        </xdr:from>
        <xdr:to>
          <xdr:col>10</xdr:col>
          <xdr:colOff>76200</xdr:colOff>
          <xdr:row>22</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0</xdr:rowOff>
        </xdr:from>
        <xdr:to>
          <xdr:col>10</xdr:col>
          <xdr:colOff>76200</xdr:colOff>
          <xdr:row>23</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9525</xdr:rowOff>
        </xdr:from>
        <xdr:to>
          <xdr:col>1</xdr:col>
          <xdr:colOff>0</xdr:colOff>
          <xdr:row>39</xdr:row>
          <xdr:rowOff>9525</xdr:rowOff>
        </xdr:to>
        <xdr:sp macro="" textlink="">
          <xdr:nvSpPr>
            <xdr:cNvPr id="8215" name="Group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1</xdr:col>
          <xdr:colOff>9525</xdr:colOff>
          <xdr:row>57</xdr:row>
          <xdr:rowOff>152400</xdr:rowOff>
        </xdr:to>
        <xdr:sp macro="" textlink="">
          <xdr:nvSpPr>
            <xdr:cNvPr id="8216" name="Group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9525</xdr:colOff>
          <xdr:row>57</xdr:row>
          <xdr:rowOff>152400</xdr:rowOff>
        </xdr:to>
        <xdr:sp macro="" textlink="">
          <xdr:nvSpPr>
            <xdr:cNvPr id="8217" name="Group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42</xdr:row>
          <xdr:rowOff>9525</xdr:rowOff>
        </xdr:from>
        <xdr:to>
          <xdr:col>0</xdr:col>
          <xdr:colOff>190500</xdr:colOff>
          <xdr:row>43</xdr:row>
          <xdr:rowOff>0</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0</xdr:col>
          <xdr:colOff>190500</xdr:colOff>
          <xdr:row>48</xdr:row>
          <xdr:rowOff>0</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52</xdr:row>
          <xdr:rowOff>9525</xdr:rowOff>
        </xdr:from>
        <xdr:to>
          <xdr:col>0</xdr:col>
          <xdr:colOff>190500</xdr:colOff>
          <xdr:row>53</xdr:row>
          <xdr:rowOff>0</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5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54</xdr:row>
          <xdr:rowOff>9525</xdr:rowOff>
        </xdr:from>
        <xdr:to>
          <xdr:col>0</xdr:col>
          <xdr:colOff>190500</xdr:colOff>
          <xdr:row>55</xdr:row>
          <xdr:rowOff>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56</xdr:row>
          <xdr:rowOff>9525</xdr:rowOff>
        </xdr:from>
        <xdr:to>
          <xdr:col>0</xdr:col>
          <xdr:colOff>190500</xdr:colOff>
          <xdr:row>57</xdr:row>
          <xdr:rowOff>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5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9525</xdr:rowOff>
        </xdr:from>
        <xdr:to>
          <xdr:col>1</xdr:col>
          <xdr:colOff>190500</xdr:colOff>
          <xdr:row>43</xdr:row>
          <xdr:rowOff>0</xdr:rowOff>
        </xdr:to>
        <xdr:sp macro="" textlink="">
          <xdr:nvSpPr>
            <xdr:cNvPr id="8223" name="Option Button 31" hidden="1">
              <a:extLst>
                <a:ext uri="{63B3BB69-23CF-44E3-9099-C40C66FF867C}">
                  <a14:compatExt spid="_x0000_s8223"/>
                </a:ext>
                <a:ext uri="{FF2B5EF4-FFF2-40B4-BE49-F238E27FC236}">
                  <a16:creationId xmlns:a16="http://schemas.microsoft.com/office/drawing/2014/main" id="{00000000-0008-0000-05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9525</xdr:rowOff>
        </xdr:from>
        <xdr:to>
          <xdr:col>1</xdr:col>
          <xdr:colOff>190500</xdr:colOff>
          <xdr:row>48</xdr:row>
          <xdr:rowOff>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5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9525</xdr:rowOff>
        </xdr:from>
        <xdr:to>
          <xdr:col>1</xdr:col>
          <xdr:colOff>190500</xdr:colOff>
          <xdr:row>53</xdr:row>
          <xdr:rowOff>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5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9525</xdr:rowOff>
        </xdr:from>
        <xdr:to>
          <xdr:col>1</xdr:col>
          <xdr:colOff>190500</xdr:colOff>
          <xdr:row>55</xdr:row>
          <xdr:rowOff>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5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9525</xdr:rowOff>
        </xdr:from>
        <xdr:to>
          <xdr:col>1</xdr:col>
          <xdr:colOff>190500</xdr:colOff>
          <xdr:row>57</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5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9525</xdr:rowOff>
        </xdr:from>
        <xdr:to>
          <xdr:col>0</xdr:col>
          <xdr:colOff>190500</xdr:colOff>
          <xdr:row>33</xdr:row>
          <xdr:rowOff>0</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5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9525</xdr:rowOff>
        </xdr:from>
        <xdr:to>
          <xdr:col>0</xdr:col>
          <xdr:colOff>190500</xdr:colOff>
          <xdr:row>38</xdr:row>
          <xdr:rowOff>0</xdr:rowOff>
        </xdr:to>
        <xdr:sp macro="" textlink="">
          <xdr:nvSpPr>
            <xdr:cNvPr id="8229" name="Option Button 37" hidden="1">
              <a:extLst>
                <a:ext uri="{63B3BB69-23CF-44E3-9099-C40C66FF867C}">
                  <a14:compatExt spid="_x0000_s8229"/>
                </a:ext>
                <a:ext uri="{FF2B5EF4-FFF2-40B4-BE49-F238E27FC236}">
                  <a16:creationId xmlns:a16="http://schemas.microsoft.com/office/drawing/2014/main" id="{00000000-0008-0000-05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9525</xdr:rowOff>
        </xdr:from>
        <xdr:to>
          <xdr:col>0</xdr:col>
          <xdr:colOff>190500</xdr:colOff>
          <xdr:row>39</xdr:row>
          <xdr:rowOff>0</xdr:rowOff>
        </xdr:to>
        <xdr:sp macro="" textlink="">
          <xdr:nvSpPr>
            <xdr:cNvPr id="8230" name="Option Button 38" hidden="1">
              <a:extLst>
                <a:ext uri="{63B3BB69-23CF-44E3-9099-C40C66FF867C}">
                  <a14:compatExt spid="_x0000_s8230"/>
                </a:ext>
                <a:ext uri="{FF2B5EF4-FFF2-40B4-BE49-F238E27FC236}">
                  <a16:creationId xmlns:a16="http://schemas.microsoft.com/office/drawing/2014/main" id="{00000000-0008-0000-05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10</xdr:col>
          <xdr:colOff>76200</xdr:colOff>
          <xdr:row>12</xdr:row>
          <xdr:rowOff>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5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0</xdr:rowOff>
        </xdr:from>
        <xdr:to>
          <xdr:col>10</xdr:col>
          <xdr:colOff>76200</xdr:colOff>
          <xdr:row>13</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5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0</xdr:rowOff>
        </xdr:from>
        <xdr:to>
          <xdr:col>10</xdr:col>
          <xdr:colOff>76200</xdr:colOff>
          <xdr:row>14</xdr:row>
          <xdr:rowOff>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5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76200</xdr:colOff>
          <xdr:row>15</xdr:row>
          <xdr:rowOff>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5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76200</xdr:colOff>
          <xdr:row>16</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5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76200</xdr:colOff>
          <xdr:row>17</xdr:row>
          <xdr:rowOff>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5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76200</xdr:colOff>
          <xdr:row>18</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5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0</xdr:rowOff>
        </xdr:from>
        <xdr:to>
          <xdr:col>10</xdr:col>
          <xdr:colOff>76200</xdr:colOff>
          <xdr:row>19</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5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10</xdr:col>
          <xdr:colOff>76200</xdr:colOff>
          <xdr:row>20</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5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0</xdr:rowOff>
        </xdr:from>
        <xdr:to>
          <xdr:col>10</xdr:col>
          <xdr:colOff>76200</xdr:colOff>
          <xdr:row>21</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5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0</xdr:rowOff>
        </xdr:from>
        <xdr:to>
          <xdr:col>10</xdr:col>
          <xdr:colOff>76200</xdr:colOff>
          <xdr:row>22</xdr:row>
          <xdr:rowOff>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5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f2401e5b4465ca21/Documents/PF%20NPC%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PC Sheet"/>
      <sheetName val="Primary Worksheet"/>
      <sheetName val="C1-WT"/>
      <sheetName val="C1-SWT"/>
      <sheetName val="C2-WT"/>
      <sheetName val="C2-SWT"/>
      <sheetName val="C3-WT"/>
      <sheetName val="C3-SWT"/>
      <sheetName val="Editor's Notes"/>
      <sheetName val="Combat"/>
      <sheetName val="Combat Sheet"/>
      <sheetName val="Race Sheet"/>
      <sheetName val="OCC Sheet"/>
      <sheetName val="Skill Shee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sheetPr>
  <dimension ref="A1:I128"/>
  <sheetViews>
    <sheetView zoomScaleNormal="100" workbookViewId="0">
      <selection sqref="A1:I1"/>
    </sheetView>
  </sheetViews>
  <sheetFormatPr defaultRowHeight="15" x14ac:dyDescent="0.25"/>
  <sheetData>
    <row r="1" spans="1:9" ht="15.75" thickBot="1" x14ac:dyDescent="0.3">
      <c r="A1" s="392" t="s">
        <v>0</v>
      </c>
      <c r="B1" s="393"/>
      <c r="C1" s="393"/>
      <c r="D1" s="393"/>
      <c r="E1" s="393"/>
      <c r="F1" s="393"/>
      <c r="G1" s="393"/>
      <c r="H1" s="393"/>
      <c r="I1" s="394"/>
    </row>
    <row r="2" spans="1:9" s="3" customFormat="1" ht="3.75" customHeight="1" x14ac:dyDescent="0.25">
      <c r="A2" s="32"/>
      <c r="B2" s="32"/>
      <c r="C2" s="32"/>
      <c r="D2" s="32"/>
      <c r="E2" s="32"/>
      <c r="F2" s="32"/>
      <c r="G2" s="32"/>
      <c r="H2" s="32"/>
      <c r="I2" s="32"/>
    </row>
    <row r="3" spans="1:9" x14ac:dyDescent="0.25">
      <c r="A3" s="391" t="s">
        <v>1</v>
      </c>
      <c r="B3" s="391"/>
      <c r="C3" s="391"/>
      <c r="D3" s="391"/>
      <c r="E3" s="391"/>
      <c r="F3" s="391"/>
      <c r="G3" s="391"/>
      <c r="H3" s="391"/>
      <c r="I3" s="391"/>
    </row>
    <row r="4" spans="1:9" x14ac:dyDescent="0.25">
      <c r="A4" s="391"/>
      <c r="B4" s="391"/>
      <c r="C4" s="391"/>
      <c r="D4" s="391"/>
      <c r="E4" s="391"/>
      <c r="F4" s="391"/>
      <c r="G4" s="391"/>
      <c r="H4" s="391"/>
      <c r="I4" s="391"/>
    </row>
    <row r="5" spans="1:9" x14ac:dyDescent="0.25">
      <c r="A5" s="391"/>
      <c r="B5" s="391"/>
      <c r="C5" s="391"/>
      <c r="D5" s="391"/>
      <c r="E5" s="391"/>
      <c r="F5" s="391"/>
      <c r="G5" s="391"/>
      <c r="H5" s="391"/>
      <c r="I5" s="391"/>
    </row>
    <row r="6" spans="1:9" s="1" customFormat="1" ht="3.75" customHeight="1" thickBot="1" x14ac:dyDescent="0.3">
      <c r="A6" s="107"/>
      <c r="B6" s="107"/>
      <c r="C6" s="107"/>
      <c r="D6" s="107"/>
      <c r="E6" s="107"/>
      <c r="F6" s="107"/>
      <c r="G6" s="107"/>
      <c r="H6" s="107"/>
      <c r="I6" s="107"/>
    </row>
    <row r="7" spans="1:9" s="1" customFormat="1" x14ac:dyDescent="0.25">
      <c r="A7" s="367" t="s">
        <v>2</v>
      </c>
      <c r="B7" s="368"/>
      <c r="C7" s="368"/>
      <c r="D7" s="368"/>
      <c r="E7" s="368"/>
      <c r="F7" s="368"/>
      <c r="G7" s="368"/>
      <c r="H7" s="368"/>
      <c r="I7" s="369"/>
    </row>
    <row r="8" spans="1:9" s="1" customFormat="1" x14ac:dyDescent="0.25">
      <c r="A8" s="370"/>
      <c r="B8" s="371"/>
      <c r="C8" s="371"/>
      <c r="D8" s="371"/>
      <c r="E8" s="371"/>
      <c r="F8" s="371"/>
      <c r="G8" s="371"/>
      <c r="H8" s="371"/>
      <c r="I8" s="372"/>
    </row>
    <row r="9" spans="1:9" s="1" customFormat="1" x14ac:dyDescent="0.25">
      <c r="A9" s="370"/>
      <c r="B9" s="371"/>
      <c r="C9" s="371"/>
      <c r="D9" s="371"/>
      <c r="E9" s="371"/>
      <c r="F9" s="371"/>
      <c r="G9" s="371"/>
      <c r="H9" s="371"/>
      <c r="I9" s="372"/>
    </row>
    <row r="10" spans="1:9" s="1" customFormat="1" x14ac:dyDescent="0.25">
      <c r="A10" s="370"/>
      <c r="B10" s="371"/>
      <c r="C10" s="371"/>
      <c r="D10" s="371"/>
      <c r="E10" s="371"/>
      <c r="F10" s="371"/>
      <c r="G10" s="371"/>
      <c r="H10" s="371"/>
      <c r="I10" s="372"/>
    </row>
    <row r="11" spans="1:9" s="1" customFormat="1" x14ac:dyDescent="0.25">
      <c r="A11" s="370"/>
      <c r="B11" s="371"/>
      <c r="C11" s="371"/>
      <c r="D11" s="371"/>
      <c r="E11" s="371"/>
      <c r="F11" s="371"/>
      <c r="G11" s="371"/>
      <c r="H11" s="371"/>
      <c r="I11" s="372"/>
    </row>
    <row r="12" spans="1:9" s="1" customFormat="1" x14ac:dyDescent="0.25">
      <c r="A12" s="370"/>
      <c r="B12" s="371"/>
      <c r="C12" s="371"/>
      <c r="D12" s="371"/>
      <c r="E12" s="371"/>
      <c r="F12" s="371"/>
      <c r="G12" s="371"/>
      <c r="H12" s="371"/>
      <c r="I12" s="372"/>
    </row>
    <row r="13" spans="1:9" s="1" customFormat="1" ht="15" customHeight="1" x14ac:dyDescent="0.25">
      <c r="A13" s="373"/>
      <c r="B13" s="374"/>
      <c r="C13" s="374"/>
      <c r="D13" s="374"/>
      <c r="E13" s="374"/>
      <c r="F13" s="374"/>
      <c r="G13" s="374"/>
      <c r="H13" s="374"/>
      <c r="I13" s="375"/>
    </row>
    <row r="14" spans="1:9" s="1" customFormat="1" ht="15" customHeight="1" x14ac:dyDescent="0.25">
      <c r="A14" s="376" t="s">
        <v>3</v>
      </c>
      <c r="B14" s="377"/>
      <c r="C14" s="377"/>
      <c r="D14" s="377"/>
      <c r="E14" s="377"/>
      <c r="F14" s="377"/>
      <c r="G14" s="377"/>
      <c r="H14" s="377"/>
      <c r="I14" s="378"/>
    </row>
    <row r="15" spans="1:9" s="1" customFormat="1" ht="15" customHeight="1" x14ac:dyDescent="0.25">
      <c r="A15" s="376"/>
      <c r="B15" s="377"/>
      <c r="C15" s="377"/>
      <c r="D15" s="377"/>
      <c r="E15" s="377"/>
      <c r="F15" s="377"/>
      <c r="G15" s="377"/>
      <c r="H15" s="377"/>
      <c r="I15" s="378"/>
    </row>
    <row r="16" spans="1:9" s="1" customFormat="1" ht="15" customHeight="1" x14ac:dyDescent="0.25">
      <c r="A16" s="376"/>
      <c r="B16" s="377"/>
      <c r="C16" s="377"/>
      <c r="D16" s="377"/>
      <c r="E16" s="377"/>
      <c r="F16" s="377"/>
      <c r="G16" s="377"/>
      <c r="H16" s="377"/>
      <c r="I16" s="378"/>
    </row>
    <row r="17" spans="1:9" s="1" customFormat="1" ht="15" customHeight="1" x14ac:dyDescent="0.25">
      <c r="A17" s="376"/>
      <c r="B17" s="377"/>
      <c r="C17" s="377"/>
      <c r="D17" s="377"/>
      <c r="E17" s="377"/>
      <c r="F17" s="377"/>
      <c r="G17" s="377"/>
      <c r="H17" s="377"/>
      <c r="I17" s="378"/>
    </row>
    <row r="18" spans="1:9" s="1" customFormat="1" ht="15" customHeight="1" x14ac:dyDescent="0.25">
      <c r="A18" s="376"/>
      <c r="B18" s="377"/>
      <c r="C18" s="377"/>
      <c r="D18" s="377"/>
      <c r="E18" s="377"/>
      <c r="F18" s="377"/>
      <c r="G18" s="377"/>
      <c r="H18" s="377"/>
      <c r="I18" s="378"/>
    </row>
    <row r="19" spans="1:9" s="1" customFormat="1" ht="15" customHeight="1" x14ac:dyDescent="0.25">
      <c r="A19" s="376"/>
      <c r="B19" s="377"/>
      <c r="C19" s="377"/>
      <c r="D19" s="377"/>
      <c r="E19" s="377"/>
      <c r="F19" s="377"/>
      <c r="G19" s="377"/>
      <c r="H19" s="377"/>
      <c r="I19" s="378"/>
    </row>
    <row r="20" spans="1:9" s="1" customFormat="1" ht="15" customHeight="1" thickBot="1" x14ac:dyDescent="0.3">
      <c r="A20" s="379"/>
      <c r="B20" s="380"/>
      <c r="C20" s="380"/>
      <c r="D20" s="380"/>
      <c r="E20" s="380"/>
      <c r="F20" s="380"/>
      <c r="G20" s="380"/>
      <c r="H20" s="380"/>
      <c r="I20" s="381"/>
    </row>
    <row r="21" spans="1:9" s="3" customFormat="1" ht="3.75" customHeight="1" thickBot="1" x14ac:dyDescent="0.3">
      <c r="A21" s="109"/>
      <c r="B21" s="109"/>
      <c r="C21" s="109"/>
      <c r="D21" s="109"/>
      <c r="E21" s="109"/>
      <c r="F21" s="109"/>
      <c r="G21" s="109"/>
      <c r="H21" s="109"/>
      <c r="I21" s="109"/>
    </row>
    <row r="22" spans="1:9" s="1" customFormat="1" ht="15" customHeight="1" x14ac:dyDescent="0.25">
      <c r="A22" s="404" t="s">
        <v>4</v>
      </c>
      <c r="B22" s="405"/>
      <c r="C22" s="405"/>
      <c r="D22" s="405"/>
      <c r="E22" s="405"/>
      <c r="F22" s="405"/>
      <c r="G22" s="405"/>
      <c r="H22" s="405"/>
      <c r="I22" s="406"/>
    </row>
    <row r="23" spans="1:9" x14ac:dyDescent="0.25">
      <c r="A23" s="407"/>
      <c r="B23" s="408"/>
      <c r="C23" s="408"/>
      <c r="D23" s="408"/>
      <c r="E23" s="408"/>
      <c r="F23" s="408"/>
      <c r="G23" s="408"/>
      <c r="H23" s="408"/>
      <c r="I23" s="409"/>
    </row>
    <row r="24" spans="1:9" x14ac:dyDescent="0.25">
      <c r="A24" s="407"/>
      <c r="B24" s="408"/>
      <c r="C24" s="408"/>
      <c r="D24" s="408"/>
      <c r="E24" s="408"/>
      <c r="F24" s="408"/>
      <c r="G24" s="408"/>
      <c r="H24" s="408"/>
      <c r="I24" s="409"/>
    </row>
    <row r="25" spans="1:9" x14ac:dyDescent="0.25">
      <c r="A25" s="407"/>
      <c r="B25" s="408"/>
      <c r="C25" s="408"/>
      <c r="D25" s="408"/>
      <c r="E25" s="408"/>
      <c r="F25" s="408"/>
      <c r="G25" s="408"/>
      <c r="H25" s="408"/>
      <c r="I25" s="409"/>
    </row>
    <row r="26" spans="1:9" x14ac:dyDescent="0.25">
      <c r="A26" s="407"/>
      <c r="B26" s="408"/>
      <c r="C26" s="408"/>
      <c r="D26" s="408"/>
      <c r="E26" s="408"/>
      <c r="F26" s="408"/>
      <c r="G26" s="408"/>
      <c r="H26" s="408"/>
      <c r="I26" s="409"/>
    </row>
    <row r="27" spans="1:9" x14ac:dyDescent="0.25">
      <c r="A27" s="407"/>
      <c r="B27" s="408"/>
      <c r="C27" s="408"/>
      <c r="D27" s="408"/>
      <c r="E27" s="408"/>
      <c r="F27" s="408"/>
      <c r="G27" s="408"/>
      <c r="H27" s="408"/>
      <c r="I27" s="409"/>
    </row>
    <row r="28" spans="1:9" x14ac:dyDescent="0.25">
      <c r="A28" s="407"/>
      <c r="B28" s="408"/>
      <c r="C28" s="408"/>
      <c r="D28" s="408"/>
      <c r="E28" s="408"/>
      <c r="F28" s="408"/>
      <c r="G28" s="408"/>
      <c r="H28" s="408"/>
      <c r="I28" s="409"/>
    </row>
    <row r="29" spans="1:9" x14ac:dyDescent="0.25">
      <c r="A29" s="407"/>
      <c r="B29" s="408"/>
      <c r="C29" s="408"/>
      <c r="D29" s="408"/>
      <c r="E29" s="408"/>
      <c r="F29" s="408"/>
      <c r="G29" s="408"/>
      <c r="H29" s="408"/>
      <c r="I29" s="409"/>
    </row>
    <row r="30" spans="1:9" s="1" customFormat="1" x14ac:dyDescent="0.25">
      <c r="A30" s="407"/>
      <c r="B30" s="408"/>
      <c r="C30" s="408"/>
      <c r="D30" s="408"/>
      <c r="E30" s="408"/>
      <c r="F30" s="408"/>
      <c r="G30" s="408"/>
      <c r="H30" s="408"/>
      <c r="I30" s="409"/>
    </row>
    <row r="31" spans="1:9" s="1" customFormat="1" x14ac:dyDescent="0.25">
      <c r="A31" s="407"/>
      <c r="B31" s="408"/>
      <c r="C31" s="408"/>
      <c r="D31" s="408"/>
      <c r="E31" s="408"/>
      <c r="F31" s="408"/>
      <c r="G31" s="408"/>
      <c r="H31" s="408"/>
      <c r="I31" s="409"/>
    </row>
    <row r="32" spans="1:9" s="1" customFormat="1" x14ac:dyDescent="0.25">
      <c r="A32" s="407"/>
      <c r="B32" s="408"/>
      <c r="C32" s="408"/>
      <c r="D32" s="408"/>
      <c r="E32" s="408"/>
      <c r="F32" s="408"/>
      <c r="G32" s="408"/>
      <c r="H32" s="408"/>
      <c r="I32" s="409"/>
    </row>
    <row r="33" spans="1:9" ht="15" customHeight="1" x14ac:dyDescent="0.25">
      <c r="A33" s="410"/>
      <c r="B33" s="411"/>
      <c r="C33" s="411"/>
      <c r="D33" s="411"/>
      <c r="E33" s="411"/>
      <c r="F33" s="411"/>
      <c r="G33" s="411"/>
      <c r="H33" s="411"/>
      <c r="I33" s="412"/>
    </row>
    <row r="34" spans="1:9" s="1" customFormat="1" ht="15" customHeight="1" x14ac:dyDescent="0.25">
      <c r="A34" s="364" t="s">
        <v>5</v>
      </c>
      <c r="B34" s="365"/>
      <c r="C34" s="365"/>
      <c r="D34" s="365"/>
      <c r="E34" s="365"/>
      <c r="F34" s="365"/>
      <c r="G34" s="365"/>
      <c r="H34" s="365"/>
      <c r="I34" s="366"/>
    </row>
    <row r="35" spans="1:9" s="1" customFormat="1" x14ac:dyDescent="0.25">
      <c r="A35" s="364"/>
      <c r="B35" s="365"/>
      <c r="C35" s="365"/>
      <c r="D35" s="365"/>
      <c r="E35" s="365"/>
      <c r="F35" s="365"/>
      <c r="G35" s="365"/>
      <c r="H35" s="365"/>
      <c r="I35" s="366"/>
    </row>
    <row r="36" spans="1:9" s="1" customFormat="1" ht="15" customHeight="1" x14ac:dyDescent="0.25">
      <c r="A36" s="364"/>
      <c r="B36" s="365"/>
      <c r="C36" s="365"/>
      <c r="D36" s="365"/>
      <c r="E36" s="365"/>
      <c r="F36" s="365"/>
      <c r="G36" s="365"/>
      <c r="H36" s="365"/>
      <c r="I36" s="366"/>
    </row>
    <row r="37" spans="1:9" s="1" customFormat="1" ht="15" customHeight="1" x14ac:dyDescent="0.25">
      <c r="A37" s="364"/>
      <c r="B37" s="365"/>
      <c r="C37" s="365"/>
      <c r="D37" s="365"/>
      <c r="E37" s="365"/>
      <c r="F37" s="365"/>
      <c r="G37" s="365"/>
      <c r="H37" s="365"/>
      <c r="I37" s="366"/>
    </row>
    <row r="38" spans="1:9" s="1" customFormat="1" ht="15" customHeight="1" x14ac:dyDescent="0.25">
      <c r="A38" s="364"/>
      <c r="B38" s="365"/>
      <c r="C38" s="365"/>
      <c r="D38" s="365"/>
      <c r="E38" s="365"/>
      <c r="F38" s="365"/>
      <c r="G38" s="365"/>
      <c r="H38" s="365"/>
      <c r="I38" s="366"/>
    </row>
    <row r="39" spans="1:9" s="1" customFormat="1" ht="15" customHeight="1" x14ac:dyDescent="0.25">
      <c r="A39" s="364"/>
      <c r="B39" s="365"/>
      <c r="C39" s="365"/>
      <c r="D39" s="365"/>
      <c r="E39" s="365"/>
      <c r="F39" s="365"/>
      <c r="G39" s="365"/>
      <c r="H39" s="365"/>
      <c r="I39" s="366"/>
    </row>
    <row r="40" spans="1:9" ht="15" customHeight="1" x14ac:dyDescent="0.25">
      <c r="A40" s="364" t="s">
        <v>6</v>
      </c>
      <c r="B40" s="365"/>
      <c r="C40" s="365"/>
      <c r="D40" s="365"/>
      <c r="E40" s="365"/>
      <c r="F40" s="365"/>
      <c r="G40" s="365"/>
      <c r="H40" s="365"/>
      <c r="I40" s="366"/>
    </row>
    <row r="41" spans="1:9" x14ac:dyDescent="0.25">
      <c r="A41" s="364"/>
      <c r="B41" s="365"/>
      <c r="C41" s="365"/>
      <c r="D41" s="365"/>
      <c r="E41" s="365"/>
      <c r="F41" s="365"/>
      <c r="G41" s="365"/>
      <c r="H41" s="365"/>
      <c r="I41" s="366"/>
    </row>
    <row r="42" spans="1:9" x14ac:dyDescent="0.25">
      <c r="A42" s="364"/>
      <c r="B42" s="365"/>
      <c r="C42" s="365"/>
      <c r="D42" s="365"/>
      <c r="E42" s="365"/>
      <c r="F42" s="365"/>
      <c r="G42" s="365"/>
      <c r="H42" s="365"/>
      <c r="I42" s="366"/>
    </row>
    <row r="43" spans="1:9" x14ac:dyDescent="0.25">
      <c r="A43" s="364"/>
      <c r="B43" s="365"/>
      <c r="C43" s="365"/>
      <c r="D43" s="365"/>
      <c r="E43" s="365"/>
      <c r="F43" s="365"/>
      <c r="G43" s="365"/>
      <c r="H43" s="365"/>
      <c r="I43" s="366"/>
    </row>
    <row r="44" spans="1:9" s="1" customFormat="1" x14ac:dyDescent="0.25">
      <c r="A44" s="364"/>
      <c r="B44" s="365"/>
      <c r="C44" s="365"/>
      <c r="D44" s="365"/>
      <c r="E44" s="365"/>
      <c r="F44" s="365"/>
      <c r="G44" s="365"/>
      <c r="H44" s="365"/>
      <c r="I44" s="366"/>
    </row>
    <row r="45" spans="1:9" s="1" customFormat="1" x14ac:dyDescent="0.25">
      <c r="A45" s="364"/>
      <c r="B45" s="365"/>
      <c r="C45" s="365"/>
      <c r="D45" s="365"/>
      <c r="E45" s="365"/>
      <c r="F45" s="365"/>
      <c r="G45" s="365"/>
      <c r="H45" s="365"/>
      <c r="I45" s="366"/>
    </row>
    <row r="46" spans="1:9" ht="15" customHeight="1" thickBot="1" x14ac:dyDescent="0.3">
      <c r="A46" s="413"/>
      <c r="B46" s="414"/>
      <c r="C46" s="414"/>
      <c r="D46" s="414"/>
      <c r="E46" s="414"/>
      <c r="F46" s="414"/>
      <c r="G46" s="414"/>
      <c r="H46" s="414"/>
      <c r="I46" s="415"/>
    </row>
    <row r="47" spans="1:9" s="1" customFormat="1" ht="3.75" customHeight="1" thickBot="1" x14ac:dyDescent="0.3">
      <c r="A47" s="108"/>
      <c r="B47" s="108"/>
      <c r="C47" s="108"/>
      <c r="D47" s="108"/>
      <c r="E47" s="108"/>
      <c r="F47" s="108"/>
      <c r="G47" s="108"/>
      <c r="H47" s="108"/>
      <c r="I47" s="108"/>
    </row>
    <row r="48" spans="1:9" ht="15" customHeight="1" x14ac:dyDescent="0.25">
      <c r="A48" s="404" t="s">
        <v>7</v>
      </c>
      <c r="B48" s="405"/>
      <c r="C48" s="405"/>
      <c r="D48" s="405"/>
      <c r="E48" s="405"/>
      <c r="F48" s="405"/>
      <c r="G48" s="405"/>
      <c r="H48" s="405"/>
      <c r="I48" s="406"/>
    </row>
    <row r="49" spans="1:9" x14ac:dyDescent="0.25">
      <c r="A49" s="407"/>
      <c r="B49" s="408"/>
      <c r="C49" s="408"/>
      <c r="D49" s="408"/>
      <c r="E49" s="408"/>
      <c r="F49" s="408"/>
      <c r="G49" s="408"/>
      <c r="H49" s="408"/>
      <c r="I49" s="409"/>
    </row>
    <row r="50" spans="1:9" x14ac:dyDescent="0.25">
      <c r="A50" s="407"/>
      <c r="B50" s="408"/>
      <c r="C50" s="408"/>
      <c r="D50" s="408"/>
      <c r="E50" s="408"/>
      <c r="F50" s="408"/>
      <c r="G50" s="408"/>
      <c r="H50" s="408"/>
      <c r="I50" s="409"/>
    </row>
    <row r="51" spans="1:9" x14ac:dyDescent="0.25">
      <c r="A51" s="407"/>
      <c r="B51" s="408"/>
      <c r="C51" s="408"/>
      <c r="D51" s="408"/>
      <c r="E51" s="408"/>
      <c r="F51" s="408"/>
      <c r="G51" s="408"/>
      <c r="H51" s="408"/>
      <c r="I51" s="409"/>
    </row>
    <row r="52" spans="1:9" x14ac:dyDescent="0.25">
      <c r="A52" s="407"/>
      <c r="B52" s="408"/>
      <c r="C52" s="408"/>
      <c r="D52" s="408"/>
      <c r="E52" s="408"/>
      <c r="F52" s="408"/>
      <c r="G52" s="408"/>
      <c r="H52" s="408"/>
      <c r="I52" s="409"/>
    </row>
    <row r="53" spans="1:9" s="1" customFormat="1" x14ac:dyDescent="0.25">
      <c r="A53" s="407"/>
      <c r="B53" s="408"/>
      <c r="C53" s="408"/>
      <c r="D53" s="408"/>
      <c r="E53" s="408"/>
      <c r="F53" s="408"/>
      <c r="G53" s="408"/>
      <c r="H53" s="408"/>
      <c r="I53" s="409"/>
    </row>
    <row r="54" spans="1:9" s="1" customFormat="1" x14ac:dyDescent="0.25">
      <c r="A54" s="407"/>
      <c r="B54" s="408"/>
      <c r="C54" s="408"/>
      <c r="D54" s="408"/>
      <c r="E54" s="408"/>
      <c r="F54" s="408"/>
      <c r="G54" s="408"/>
      <c r="H54" s="408"/>
      <c r="I54" s="409"/>
    </row>
    <row r="55" spans="1:9" x14ac:dyDescent="0.25">
      <c r="A55" s="410"/>
      <c r="B55" s="411"/>
      <c r="C55" s="411"/>
      <c r="D55" s="411"/>
      <c r="E55" s="411"/>
      <c r="F55" s="411"/>
      <c r="G55" s="411"/>
      <c r="H55" s="411"/>
      <c r="I55" s="412"/>
    </row>
    <row r="56" spans="1:9" s="1" customFormat="1" ht="15" customHeight="1" x14ac:dyDescent="0.25">
      <c r="A56" s="364" t="s">
        <v>8</v>
      </c>
      <c r="B56" s="365"/>
      <c r="C56" s="365"/>
      <c r="D56" s="365"/>
      <c r="E56" s="365"/>
      <c r="F56" s="365"/>
      <c r="G56" s="365"/>
      <c r="H56" s="365"/>
      <c r="I56" s="366"/>
    </row>
    <row r="57" spans="1:9" s="1" customFormat="1" ht="15" customHeight="1" x14ac:dyDescent="0.25">
      <c r="A57" s="364"/>
      <c r="B57" s="365"/>
      <c r="C57" s="365"/>
      <c r="D57" s="365"/>
      <c r="E57" s="365"/>
      <c r="F57" s="365"/>
      <c r="G57" s="365"/>
      <c r="H57" s="365"/>
      <c r="I57" s="366"/>
    </row>
    <row r="58" spans="1:9" s="1" customFormat="1" ht="15" customHeight="1" x14ac:dyDescent="0.25">
      <c r="A58" s="364"/>
      <c r="B58" s="365"/>
      <c r="C58" s="365"/>
      <c r="D58" s="365"/>
      <c r="E58" s="365"/>
      <c r="F58" s="365"/>
      <c r="G58" s="365"/>
      <c r="H58" s="365"/>
      <c r="I58" s="366"/>
    </row>
    <row r="59" spans="1:9" s="1" customFormat="1" ht="15" customHeight="1" x14ac:dyDescent="0.25">
      <c r="A59" s="364"/>
      <c r="B59" s="365"/>
      <c r="C59" s="365"/>
      <c r="D59" s="365"/>
      <c r="E59" s="365"/>
      <c r="F59" s="365"/>
      <c r="G59" s="365"/>
      <c r="H59" s="365"/>
      <c r="I59" s="366"/>
    </row>
    <row r="60" spans="1:9" s="1" customFormat="1" ht="15" customHeight="1" x14ac:dyDescent="0.25">
      <c r="A60" s="364"/>
      <c r="B60" s="365"/>
      <c r="C60" s="365"/>
      <c r="D60" s="365"/>
      <c r="E60" s="365"/>
      <c r="F60" s="365"/>
      <c r="G60" s="365"/>
      <c r="H60" s="365"/>
      <c r="I60" s="366"/>
    </row>
    <row r="61" spans="1:9" s="1" customFormat="1" ht="15" customHeight="1" x14ac:dyDescent="0.25">
      <c r="A61" s="364"/>
      <c r="B61" s="365"/>
      <c r="C61" s="365"/>
      <c r="D61" s="365"/>
      <c r="E61" s="365"/>
      <c r="F61" s="365"/>
      <c r="G61" s="365"/>
      <c r="H61" s="365"/>
      <c r="I61" s="366"/>
    </row>
    <row r="62" spans="1:9" s="1" customFormat="1" ht="15" customHeight="1" x14ac:dyDescent="0.25">
      <c r="A62" s="364"/>
      <c r="B62" s="365"/>
      <c r="C62" s="365"/>
      <c r="D62" s="365"/>
      <c r="E62" s="365"/>
      <c r="F62" s="365"/>
      <c r="G62" s="365"/>
      <c r="H62" s="365"/>
      <c r="I62" s="366"/>
    </row>
    <row r="63" spans="1:9" s="1" customFormat="1" ht="15" customHeight="1" x14ac:dyDescent="0.25">
      <c r="A63" s="364"/>
      <c r="B63" s="365"/>
      <c r="C63" s="365"/>
      <c r="D63" s="365"/>
      <c r="E63" s="365"/>
      <c r="F63" s="365"/>
      <c r="G63" s="365"/>
      <c r="H63" s="365"/>
      <c r="I63" s="366"/>
    </row>
    <row r="64" spans="1:9" s="1" customFormat="1" ht="15" customHeight="1" x14ac:dyDescent="0.25">
      <c r="A64" s="364"/>
      <c r="B64" s="365"/>
      <c r="C64" s="365"/>
      <c r="D64" s="365"/>
      <c r="E64" s="365"/>
      <c r="F64" s="365"/>
      <c r="G64" s="365"/>
      <c r="H64" s="365"/>
      <c r="I64" s="366"/>
    </row>
    <row r="65" spans="1:9" s="1" customFormat="1" ht="15" customHeight="1" x14ac:dyDescent="0.25">
      <c r="A65" s="364"/>
      <c r="B65" s="365"/>
      <c r="C65" s="365"/>
      <c r="D65" s="365"/>
      <c r="E65" s="365"/>
      <c r="F65" s="365"/>
      <c r="G65" s="365"/>
      <c r="H65" s="365"/>
      <c r="I65" s="366"/>
    </row>
    <row r="66" spans="1:9" s="1" customFormat="1" ht="15" customHeight="1" x14ac:dyDescent="0.25">
      <c r="A66" s="364"/>
      <c r="B66" s="365"/>
      <c r="C66" s="365"/>
      <c r="D66" s="365"/>
      <c r="E66" s="365"/>
      <c r="F66" s="365"/>
      <c r="G66" s="365"/>
      <c r="H66" s="365"/>
      <c r="I66" s="366"/>
    </row>
    <row r="67" spans="1:9" ht="15" customHeight="1" x14ac:dyDescent="0.25">
      <c r="A67" s="364" t="s">
        <v>9</v>
      </c>
      <c r="B67" s="365"/>
      <c r="C67" s="365"/>
      <c r="D67" s="365"/>
      <c r="E67" s="365"/>
      <c r="F67" s="365"/>
      <c r="G67" s="365"/>
      <c r="H67" s="365"/>
      <c r="I67" s="366"/>
    </row>
    <row r="68" spans="1:9" x14ac:dyDescent="0.25">
      <c r="A68" s="364"/>
      <c r="B68" s="365"/>
      <c r="C68" s="365"/>
      <c r="D68" s="365"/>
      <c r="E68" s="365"/>
      <c r="F68" s="365"/>
      <c r="G68" s="365"/>
      <c r="H68" s="365"/>
      <c r="I68" s="366"/>
    </row>
    <row r="69" spans="1:9" s="1" customFormat="1" x14ac:dyDescent="0.25">
      <c r="A69" s="364"/>
      <c r="B69" s="365"/>
      <c r="C69" s="365"/>
      <c r="D69" s="365"/>
      <c r="E69" s="365"/>
      <c r="F69" s="365"/>
      <c r="G69" s="365"/>
      <c r="H69" s="365"/>
      <c r="I69" s="366"/>
    </row>
    <row r="70" spans="1:9" s="1" customFormat="1" x14ac:dyDescent="0.25">
      <c r="A70" s="364"/>
      <c r="B70" s="365"/>
      <c r="C70" s="365"/>
      <c r="D70" s="365"/>
      <c r="E70" s="365"/>
      <c r="F70" s="365"/>
      <c r="G70" s="365"/>
      <c r="H70" s="365"/>
      <c r="I70" s="366"/>
    </row>
    <row r="71" spans="1:9" s="1" customFormat="1" x14ac:dyDescent="0.25">
      <c r="A71" s="364"/>
      <c r="B71" s="365"/>
      <c r="C71" s="365"/>
      <c r="D71" s="365"/>
      <c r="E71" s="365"/>
      <c r="F71" s="365"/>
      <c r="G71" s="365"/>
      <c r="H71" s="365"/>
      <c r="I71" s="366"/>
    </row>
    <row r="72" spans="1:9" ht="15" customHeight="1" x14ac:dyDescent="0.25">
      <c r="A72" s="364"/>
      <c r="B72" s="365"/>
      <c r="C72" s="365"/>
      <c r="D72" s="365"/>
      <c r="E72" s="365"/>
      <c r="F72" s="365"/>
      <c r="G72" s="365"/>
      <c r="H72" s="365"/>
      <c r="I72" s="366"/>
    </row>
    <row r="73" spans="1:9" s="1" customFormat="1" ht="15" customHeight="1" x14ac:dyDescent="0.25">
      <c r="A73" s="364" t="s">
        <v>10</v>
      </c>
      <c r="B73" s="365"/>
      <c r="C73" s="365"/>
      <c r="D73" s="365"/>
      <c r="E73" s="365"/>
      <c r="F73" s="365"/>
      <c r="G73" s="365"/>
      <c r="H73" s="365"/>
      <c r="I73" s="366"/>
    </row>
    <row r="74" spans="1:9" s="1" customFormat="1" ht="15" customHeight="1" x14ac:dyDescent="0.25">
      <c r="A74" s="364"/>
      <c r="B74" s="365"/>
      <c r="C74" s="365"/>
      <c r="D74" s="365"/>
      <c r="E74" s="365"/>
      <c r="F74" s="365"/>
      <c r="G74" s="365"/>
      <c r="H74" s="365"/>
      <c r="I74" s="366"/>
    </row>
    <row r="75" spans="1:9" s="1" customFormat="1" ht="15" customHeight="1" x14ac:dyDescent="0.25">
      <c r="A75" s="364"/>
      <c r="B75" s="365"/>
      <c r="C75" s="365"/>
      <c r="D75" s="365"/>
      <c r="E75" s="365"/>
      <c r="F75" s="365"/>
      <c r="G75" s="365"/>
      <c r="H75" s="365"/>
      <c r="I75" s="366"/>
    </row>
    <row r="76" spans="1:9" s="1" customFormat="1" ht="15" customHeight="1" x14ac:dyDescent="0.25">
      <c r="A76" s="364"/>
      <c r="B76" s="365"/>
      <c r="C76" s="365"/>
      <c r="D76" s="365"/>
      <c r="E76" s="365"/>
      <c r="F76" s="365"/>
      <c r="G76" s="365"/>
      <c r="H76" s="365"/>
      <c r="I76" s="366"/>
    </row>
    <row r="77" spans="1:9" s="1" customFormat="1" ht="15" customHeight="1" x14ac:dyDescent="0.25">
      <c r="A77" s="364"/>
      <c r="B77" s="365"/>
      <c r="C77" s="365"/>
      <c r="D77" s="365"/>
      <c r="E77" s="365"/>
      <c r="F77" s="365"/>
      <c r="G77" s="365"/>
      <c r="H77" s="365"/>
      <c r="I77" s="366"/>
    </row>
    <row r="78" spans="1:9" s="1" customFormat="1" x14ac:dyDescent="0.25">
      <c r="A78" s="364" t="s">
        <v>11</v>
      </c>
      <c r="B78" s="365"/>
      <c r="C78" s="365"/>
      <c r="D78" s="365"/>
      <c r="E78" s="365"/>
      <c r="F78" s="365"/>
      <c r="G78" s="365"/>
      <c r="H78" s="365"/>
      <c r="I78" s="366"/>
    </row>
    <row r="79" spans="1:9" s="1" customFormat="1" x14ac:dyDescent="0.25">
      <c r="A79" s="364"/>
      <c r="B79" s="365"/>
      <c r="C79" s="365"/>
      <c r="D79" s="365"/>
      <c r="E79" s="365"/>
      <c r="F79" s="365"/>
      <c r="G79" s="365"/>
      <c r="H79" s="365"/>
      <c r="I79" s="366"/>
    </row>
    <row r="80" spans="1:9" s="1" customFormat="1" x14ac:dyDescent="0.25">
      <c r="A80" s="364"/>
      <c r="B80" s="365"/>
      <c r="C80" s="365"/>
      <c r="D80" s="365"/>
      <c r="E80" s="365"/>
      <c r="F80" s="365"/>
      <c r="G80" s="365"/>
      <c r="H80" s="365"/>
      <c r="I80" s="366"/>
    </row>
    <row r="81" spans="1:9" s="1" customFormat="1" ht="15" customHeight="1" thickBot="1" x14ac:dyDescent="0.3">
      <c r="A81" s="413"/>
      <c r="B81" s="414"/>
      <c r="C81" s="414"/>
      <c r="D81" s="414"/>
      <c r="E81" s="414"/>
      <c r="F81" s="414"/>
      <c r="G81" s="414"/>
      <c r="H81" s="414"/>
      <c r="I81" s="415"/>
    </row>
    <row r="82" spans="1:9" s="1" customFormat="1" ht="3.75" customHeight="1" thickBot="1" x14ac:dyDescent="0.3">
      <c r="A82" s="108"/>
      <c r="B82" s="108"/>
      <c r="C82" s="108"/>
      <c r="D82" s="108"/>
      <c r="E82" s="108"/>
      <c r="F82" s="108"/>
      <c r="G82" s="108"/>
      <c r="H82" s="108"/>
      <c r="I82" s="108"/>
    </row>
    <row r="83" spans="1:9" x14ac:dyDescent="0.25">
      <c r="A83" s="367" t="s">
        <v>12</v>
      </c>
      <c r="B83" s="368"/>
      <c r="C83" s="368"/>
      <c r="D83" s="368"/>
      <c r="E83" s="368"/>
      <c r="F83" s="368"/>
      <c r="G83" s="368"/>
      <c r="H83" s="368"/>
      <c r="I83" s="369"/>
    </row>
    <row r="84" spans="1:9" x14ac:dyDescent="0.25">
      <c r="A84" s="370"/>
      <c r="B84" s="371"/>
      <c r="C84" s="371"/>
      <c r="D84" s="371"/>
      <c r="E84" s="371"/>
      <c r="F84" s="371"/>
      <c r="G84" s="371"/>
      <c r="H84" s="371"/>
      <c r="I84" s="372"/>
    </row>
    <row r="85" spans="1:9" x14ac:dyDescent="0.25">
      <c r="A85" s="370"/>
      <c r="B85" s="371"/>
      <c r="C85" s="371"/>
      <c r="D85" s="371"/>
      <c r="E85" s="371"/>
      <c r="F85" s="371"/>
      <c r="G85" s="371"/>
      <c r="H85" s="371"/>
      <c r="I85" s="372"/>
    </row>
    <row r="86" spans="1:9" s="1" customFormat="1" ht="15.75" thickBot="1" x14ac:dyDescent="0.3">
      <c r="A86" s="416"/>
      <c r="B86" s="417"/>
      <c r="C86" s="417"/>
      <c r="D86" s="417"/>
      <c r="E86" s="417"/>
      <c r="F86" s="417"/>
      <c r="G86" s="417"/>
      <c r="H86" s="417"/>
      <c r="I86" s="418"/>
    </row>
    <row r="87" spans="1:9" s="3" customFormat="1" ht="3.75" customHeight="1" thickBot="1" x14ac:dyDescent="0.3">
      <c r="A87" s="109"/>
      <c r="B87" s="109"/>
      <c r="C87" s="109"/>
      <c r="D87" s="109"/>
      <c r="E87" s="109"/>
      <c r="F87" s="109"/>
      <c r="G87" s="109"/>
      <c r="H87" s="109"/>
      <c r="I87" s="109"/>
    </row>
    <row r="88" spans="1:9" s="3" customFormat="1" ht="15" customHeight="1" x14ac:dyDescent="0.25">
      <c r="A88" s="367" t="s">
        <v>396</v>
      </c>
      <c r="B88" s="368"/>
      <c r="C88" s="368"/>
      <c r="D88" s="368"/>
      <c r="E88" s="368"/>
      <c r="F88" s="368"/>
      <c r="G88" s="368"/>
      <c r="H88" s="368"/>
      <c r="I88" s="369"/>
    </row>
    <row r="89" spans="1:9" s="3" customFormat="1" ht="15" customHeight="1" x14ac:dyDescent="0.25">
      <c r="A89" s="370"/>
      <c r="B89" s="371"/>
      <c r="C89" s="371"/>
      <c r="D89" s="371"/>
      <c r="E89" s="371"/>
      <c r="F89" s="371"/>
      <c r="G89" s="371"/>
      <c r="H89" s="371"/>
      <c r="I89" s="372"/>
    </row>
    <row r="90" spans="1:9" s="3" customFormat="1" ht="15" customHeight="1" x14ac:dyDescent="0.25">
      <c r="A90" s="370"/>
      <c r="B90" s="371"/>
      <c r="C90" s="371"/>
      <c r="D90" s="371"/>
      <c r="E90" s="371"/>
      <c r="F90" s="371"/>
      <c r="G90" s="371"/>
      <c r="H90" s="371"/>
      <c r="I90" s="372"/>
    </row>
    <row r="91" spans="1:9" s="3" customFormat="1" ht="15" customHeight="1" x14ac:dyDescent="0.25">
      <c r="A91" s="370"/>
      <c r="B91" s="371"/>
      <c r="C91" s="371"/>
      <c r="D91" s="371"/>
      <c r="E91" s="371"/>
      <c r="F91" s="371"/>
      <c r="G91" s="371"/>
      <c r="H91" s="371"/>
      <c r="I91" s="372"/>
    </row>
    <row r="92" spans="1:9" s="3" customFormat="1" ht="15" customHeight="1" x14ac:dyDescent="0.25">
      <c r="A92" s="373"/>
      <c r="B92" s="374"/>
      <c r="C92" s="374"/>
      <c r="D92" s="374"/>
      <c r="E92" s="374"/>
      <c r="F92" s="374"/>
      <c r="G92" s="374"/>
      <c r="H92" s="374"/>
      <c r="I92" s="375"/>
    </row>
    <row r="93" spans="1:9" s="3" customFormat="1" ht="15" customHeight="1" x14ac:dyDescent="0.25">
      <c r="A93" s="376" t="s">
        <v>395</v>
      </c>
      <c r="B93" s="377"/>
      <c r="C93" s="377"/>
      <c r="D93" s="377"/>
      <c r="E93" s="377"/>
      <c r="F93" s="377"/>
      <c r="G93" s="377"/>
      <c r="H93" s="377"/>
      <c r="I93" s="378"/>
    </row>
    <row r="94" spans="1:9" s="3" customFormat="1" ht="15" customHeight="1" x14ac:dyDescent="0.25">
      <c r="A94" s="376"/>
      <c r="B94" s="377"/>
      <c r="C94" s="377"/>
      <c r="D94" s="377"/>
      <c r="E94" s="377"/>
      <c r="F94" s="377"/>
      <c r="G94" s="377"/>
      <c r="H94" s="377"/>
      <c r="I94" s="378"/>
    </row>
    <row r="95" spans="1:9" s="3" customFormat="1" ht="15" customHeight="1" x14ac:dyDescent="0.25">
      <c r="A95" s="376"/>
      <c r="B95" s="377"/>
      <c r="C95" s="377"/>
      <c r="D95" s="377"/>
      <c r="E95" s="377"/>
      <c r="F95" s="377"/>
      <c r="G95" s="377"/>
      <c r="H95" s="377"/>
      <c r="I95" s="378"/>
    </row>
    <row r="96" spans="1:9" s="3" customFormat="1" ht="15" customHeight="1" x14ac:dyDescent="0.25">
      <c r="A96" s="376"/>
      <c r="B96" s="377"/>
      <c r="C96" s="377"/>
      <c r="D96" s="377"/>
      <c r="E96" s="377"/>
      <c r="F96" s="377"/>
      <c r="G96" s="377"/>
      <c r="H96" s="377"/>
      <c r="I96" s="378"/>
    </row>
    <row r="97" spans="1:9" s="3" customFormat="1" ht="15" customHeight="1" x14ac:dyDescent="0.25">
      <c r="A97" s="376"/>
      <c r="B97" s="377"/>
      <c r="C97" s="377"/>
      <c r="D97" s="377"/>
      <c r="E97" s="377"/>
      <c r="F97" s="377"/>
      <c r="G97" s="377"/>
      <c r="H97" s="377"/>
      <c r="I97" s="378"/>
    </row>
    <row r="98" spans="1:9" s="3" customFormat="1" ht="15" customHeight="1" x14ac:dyDescent="0.25">
      <c r="A98" s="376"/>
      <c r="B98" s="377"/>
      <c r="C98" s="377"/>
      <c r="D98" s="377"/>
      <c r="E98" s="377"/>
      <c r="F98" s="377"/>
      <c r="G98" s="377"/>
      <c r="H98" s="377"/>
      <c r="I98" s="378"/>
    </row>
    <row r="99" spans="1:9" s="3" customFormat="1" ht="15" customHeight="1" x14ac:dyDescent="0.25">
      <c r="A99" s="376"/>
      <c r="B99" s="377"/>
      <c r="C99" s="377"/>
      <c r="D99" s="377"/>
      <c r="E99" s="377"/>
      <c r="F99" s="377"/>
      <c r="G99" s="377"/>
      <c r="H99" s="377"/>
      <c r="I99" s="378"/>
    </row>
    <row r="100" spans="1:9" s="3" customFormat="1" ht="15" customHeight="1" x14ac:dyDescent="0.25">
      <c r="A100" s="376"/>
      <c r="B100" s="377"/>
      <c r="C100" s="377"/>
      <c r="D100" s="377"/>
      <c r="E100" s="377"/>
      <c r="F100" s="377"/>
      <c r="G100" s="377"/>
      <c r="H100" s="377"/>
      <c r="I100" s="378"/>
    </row>
    <row r="101" spans="1:9" s="3" customFormat="1" ht="15" customHeight="1" x14ac:dyDescent="0.25">
      <c r="A101" s="376"/>
      <c r="B101" s="377"/>
      <c r="C101" s="377"/>
      <c r="D101" s="377"/>
      <c r="E101" s="377"/>
      <c r="F101" s="377"/>
      <c r="G101" s="377"/>
      <c r="H101" s="377"/>
      <c r="I101" s="378"/>
    </row>
    <row r="102" spans="1:9" s="3" customFormat="1" ht="15" customHeight="1" x14ac:dyDescent="0.25">
      <c r="A102" s="376"/>
      <c r="B102" s="377"/>
      <c r="C102" s="377"/>
      <c r="D102" s="377"/>
      <c r="E102" s="377"/>
      <c r="F102" s="377"/>
      <c r="G102" s="377"/>
      <c r="H102" s="377"/>
      <c r="I102" s="378"/>
    </row>
    <row r="103" spans="1:9" s="3" customFormat="1" ht="15" customHeight="1" x14ac:dyDescent="0.25">
      <c r="A103" s="376"/>
      <c r="B103" s="377"/>
      <c r="C103" s="377"/>
      <c r="D103" s="377"/>
      <c r="E103" s="377"/>
      <c r="F103" s="377"/>
      <c r="G103" s="377"/>
      <c r="H103" s="377"/>
      <c r="I103" s="378"/>
    </row>
    <row r="104" spans="1:9" s="3" customFormat="1" ht="15" customHeight="1" x14ac:dyDescent="0.25">
      <c r="A104" s="376"/>
      <c r="B104" s="377"/>
      <c r="C104" s="377"/>
      <c r="D104" s="377"/>
      <c r="E104" s="377"/>
      <c r="F104" s="377"/>
      <c r="G104" s="377"/>
      <c r="H104" s="377"/>
      <c r="I104" s="378"/>
    </row>
    <row r="105" spans="1:9" s="3" customFormat="1" ht="15" customHeight="1" x14ac:dyDescent="0.25">
      <c r="A105" s="376" t="s">
        <v>397</v>
      </c>
      <c r="B105" s="377"/>
      <c r="C105" s="377"/>
      <c r="D105" s="377"/>
      <c r="E105" s="377"/>
      <c r="F105" s="377"/>
      <c r="G105" s="377"/>
      <c r="H105" s="377"/>
      <c r="I105" s="378"/>
    </row>
    <row r="106" spans="1:9" s="3" customFormat="1" ht="15" customHeight="1" x14ac:dyDescent="0.25">
      <c r="A106" s="376"/>
      <c r="B106" s="377"/>
      <c r="C106" s="377"/>
      <c r="D106" s="377"/>
      <c r="E106" s="377"/>
      <c r="F106" s="377"/>
      <c r="G106" s="377"/>
      <c r="H106" s="377"/>
      <c r="I106" s="378"/>
    </row>
    <row r="107" spans="1:9" s="3" customFormat="1" ht="15" customHeight="1" x14ac:dyDescent="0.25">
      <c r="A107" s="376"/>
      <c r="B107" s="377"/>
      <c r="C107" s="377"/>
      <c r="D107" s="377"/>
      <c r="E107" s="377"/>
      <c r="F107" s="377"/>
      <c r="G107" s="377"/>
      <c r="H107" s="377"/>
      <c r="I107" s="378"/>
    </row>
    <row r="108" spans="1:9" s="3" customFormat="1" ht="15" customHeight="1" x14ac:dyDescent="0.25">
      <c r="A108" s="376"/>
      <c r="B108" s="377"/>
      <c r="C108" s="377"/>
      <c r="D108" s="377"/>
      <c r="E108" s="377"/>
      <c r="F108" s="377"/>
      <c r="G108" s="377"/>
      <c r="H108" s="377"/>
      <c r="I108" s="378"/>
    </row>
    <row r="109" spans="1:9" s="3" customFormat="1" ht="15" customHeight="1" x14ac:dyDescent="0.25">
      <c r="A109" s="376"/>
      <c r="B109" s="377"/>
      <c r="C109" s="377"/>
      <c r="D109" s="377"/>
      <c r="E109" s="377"/>
      <c r="F109" s="377"/>
      <c r="G109" s="377"/>
      <c r="H109" s="377"/>
      <c r="I109" s="378"/>
    </row>
    <row r="110" spans="1:9" s="3" customFormat="1" ht="15" customHeight="1" x14ac:dyDescent="0.25">
      <c r="A110" s="376"/>
      <c r="B110" s="377"/>
      <c r="C110" s="377"/>
      <c r="D110" s="377"/>
      <c r="E110" s="377"/>
      <c r="F110" s="377"/>
      <c r="G110" s="377"/>
      <c r="H110" s="377"/>
      <c r="I110" s="378"/>
    </row>
    <row r="111" spans="1:9" s="3" customFormat="1" ht="15" customHeight="1" thickBot="1" x14ac:dyDescent="0.3">
      <c r="A111" s="379"/>
      <c r="B111" s="380"/>
      <c r="C111" s="380"/>
      <c r="D111" s="380"/>
      <c r="E111" s="380"/>
      <c r="F111" s="380"/>
      <c r="G111" s="380"/>
      <c r="H111" s="380"/>
      <c r="I111" s="381"/>
    </row>
    <row r="112" spans="1:9" s="3" customFormat="1" ht="3.75" customHeight="1" thickBot="1" x14ac:dyDescent="0.3">
      <c r="A112" s="157"/>
      <c r="B112" s="157"/>
      <c r="C112" s="157"/>
      <c r="D112" s="157"/>
      <c r="E112" s="157"/>
      <c r="F112" s="157"/>
      <c r="G112" s="157"/>
      <c r="H112" s="157"/>
      <c r="I112" s="157"/>
    </row>
    <row r="113" spans="1:9" ht="15" customHeight="1" x14ac:dyDescent="0.25">
      <c r="A113" s="404" t="s">
        <v>13</v>
      </c>
      <c r="B113" s="405"/>
      <c r="C113" s="405"/>
      <c r="D113" s="405"/>
      <c r="E113" s="405"/>
      <c r="F113" s="405"/>
      <c r="G113" s="405"/>
      <c r="H113" s="405"/>
      <c r="I113" s="406"/>
    </row>
    <row r="114" spans="1:9" s="2" customFormat="1" ht="15" customHeight="1" x14ac:dyDescent="0.2">
      <c r="A114" s="407"/>
      <c r="B114" s="408"/>
      <c r="C114" s="408"/>
      <c r="D114" s="408"/>
      <c r="E114" s="408"/>
      <c r="F114" s="408"/>
      <c r="G114" s="408"/>
      <c r="H114" s="408"/>
      <c r="I114" s="409"/>
    </row>
    <row r="115" spans="1:9" s="2" customFormat="1" ht="15" customHeight="1" x14ac:dyDescent="0.2">
      <c r="A115" s="407"/>
      <c r="B115" s="408"/>
      <c r="C115" s="408"/>
      <c r="D115" s="408"/>
      <c r="E115" s="408"/>
      <c r="F115" s="408"/>
      <c r="G115" s="408"/>
      <c r="H115" s="408"/>
      <c r="I115" s="409"/>
    </row>
    <row r="116" spans="1:9" s="2" customFormat="1" ht="15" customHeight="1" x14ac:dyDescent="0.2">
      <c r="A116" s="407"/>
      <c r="B116" s="408"/>
      <c r="C116" s="408"/>
      <c r="D116" s="408"/>
      <c r="E116" s="408"/>
      <c r="F116" s="408"/>
      <c r="G116" s="408"/>
      <c r="H116" s="408"/>
      <c r="I116" s="409"/>
    </row>
    <row r="117" spans="1:9" s="2" customFormat="1" ht="15" customHeight="1" thickBot="1" x14ac:dyDescent="0.25">
      <c r="A117" s="419"/>
      <c r="B117" s="420"/>
      <c r="C117" s="420"/>
      <c r="D117" s="420"/>
      <c r="E117" s="420"/>
      <c r="F117" s="420"/>
      <c r="G117" s="420"/>
      <c r="H117" s="420"/>
      <c r="I117" s="421"/>
    </row>
    <row r="118" spans="1:9" s="4" customFormat="1" ht="3.75" customHeight="1" thickBot="1" x14ac:dyDescent="0.25">
      <c r="A118" s="109"/>
      <c r="B118" s="109"/>
      <c r="C118" s="109"/>
      <c r="D118" s="109"/>
      <c r="E118" s="109"/>
      <c r="F118" s="109"/>
      <c r="G118" s="109"/>
      <c r="H118" s="109"/>
      <c r="I118" s="109"/>
    </row>
    <row r="119" spans="1:9" x14ac:dyDescent="0.25">
      <c r="A119" s="395" t="s">
        <v>14</v>
      </c>
      <c r="B119" s="396"/>
      <c r="C119" s="396"/>
      <c r="D119" s="396"/>
      <c r="E119" s="396"/>
      <c r="F119" s="396"/>
      <c r="G119" s="396"/>
      <c r="H119" s="396"/>
      <c r="I119" s="397"/>
    </row>
    <row r="120" spans="1:9" x14ac:dyDescent="0.25">
      <c r="A120" s="398"/>
      <c r="B120" s="399"/>
      <c r="C120" s="399"/>
      <c r="D120" s="399"/>
      <c r="E120" s="399"/>
      <c r="F120" s="399"/>
      <c r="G120" s="399"/>
      <c r="H120" s="399"/>
      <c r="I120" s="400"/>
    </row>
    <row r="121" spans="1:9" x14ac:dyDescent="0.25">
      <c r="A121" s="398"/>
      <c r="B121" s="399"/>
      <c r="C121" s="399"/>
      <c r="D121" s="399"/>
      <c r="E121" s="399"/>
      <c r="F121" s="399"/>
      <c r="G121" s="399"/>
      <c r="H121" s="399"/>
      <c r="I121" s="400"/>
    </row>
    <row r="122" spans="1:9" ht="15.75" thickBot="1" x14ac:dyDescent="0.3">
      <c r="A122" s="401"/>
      <c r="B122" s="402"/>
      <c r="C122" s="402"/>
      <c r="D122" s="402"/>
      <c r="E122" s="402"/>
      <c r="F122" s="402"/>
      <c r="G122" s="402"/>
      <c r="H122" s="402"/>
      <c r="I122" s="403"/>
    </row>
    <row r="123" spans="1:9" ht="3" customHeight="1" thickBot="1" x14ac:dyDescent="0.3">
      <c r="A123" s="88"/>
      <c r="B123" s="88"/>
      <c r="C123" s="88"/>
      <c r="D123" s="88"/>
      <c r="E123" s="88"/>
      <c r="F123" s="88"/>
      <c r="G123" s="88"/>
      <c r="H123" s="88"/>
      <c r="I123" s="88"/>
    </row>
    <row r="124" spans="1:9" x14ac:dyDescent="0.25">
      <c r="A124" s="382" t="s">
        <v>15</v>
      </c>
      <c r="B124" s="383"/>
      <c r="C124" s="383"/>
      <c r="D124" s="383"/>
      <c r="E124" s="383"/>
      <c r="F124" s="383"/>
      <c r="G124" s="383"/>
      <c r="H124" s="383"/>
      <c r="I124" s="384"/>
    </row>
    <row r="125" spans="1:9" s="1" customFormat="1" x14ac:dyDescent="0.25">
      <c r="A125" s="385"/>
      <c r="B125" s="386"/>
      <c r="C125" s="386"/>
      <c r="D125" s="386"/>
      <c r="E125" s="386"/>
      <c r="F125" s="386"/>
      <c r="G125" s="386"/>
      <c r="H125" s="386"/>
      <c r="I125" s="387"/>
    </row>
    <row r="126" spans="1:9" s="1" customFormat="1" x14ac:dyDescent="0.25">
      <c r="A126" s="385"/>
      <c r="B126" s="386"/>
      <c r="C126" s="386"/>
      <c r="D126" s="386"/>
      <c r="E126" s="386"/>
      <c r="F126" s="386"/>
      <c r="G126" s="386"/>
      <c r="H126" s="386"/>
      <c r="I126" s="387"/>
    </row>
    <row r="127" spans="1:9" s="1" customFormat="1" x14ac:dyDescent="0.25">
      <c r="A127" s="385"/>
      <c r="B127" s="386"/>
      <c r="C127" s="386"/>
      <c r="D127" s="386"/>
      <c r="E127" s="386"/>
      <c r="F127" s="386"/>
      <c r="G127" s="386"/>
      <c r="H127" s="386"/>
      <c r="I127" s="387"/>
    </row>
    <row r="128" spans="1:9" ht="15.75" thickBot="1" x14ac:dyDescent="0.3">
      <c r="A128" s="388"/>
      <c r="B128" s="389"/>
      <c r="C128" s="389"/>
      <c r="D128" s="389"/>
      <c r="E128" s="389"/>
      <c r="F128" s="389"/>
      <c r="G128" s="389"/>
      <c r="H128" s="389"/>
      <c r="I128" s="390"/>
    </row>
  </sheetData>
  <sheetProtection algorithmName="SHA-512" hashValue="Z0eoaLHZUQfWWiRWwpactp0LoOIyL45GyJKrRNStcYHKB/eyjajFjKwV+S+n8vTQYvdZBBhb3eKjmD5mR68aqQ==" saltValue="CulOnVLz9xWwtXKpm7W8aA==" spinCount="100000" sheet="1" objects="1" scenarios="1"/>
  <mergeCells count="19">
    <mergeCell ref="A3:I5"/>
    <mergeCell ref="A1:I1"/>
    <mergeCell ref="A7:I13"/>
    <mergeCell ref="A56:I66"/>
    <mergeCell ref="A119:I122"/>
    <mergeCell ref="A14:I20"/>
    <mergeCell ref="A48:I55"/>
    <mergeCell ref="A78:I81"/>
    <mergeCell ref="A83:I86"/>
    <mergeCell ref="A113:I117"/>
    <mergeCell ref="A22:I33"/>
    <mergeCell ref="A40:I46"/>
    <mergeCell ref="A34:I39"/>
    <mergeCell ref="A67:I72"/>
    <mergeCell ref="A73:I77"/>
    <mergeCell ref="A88:I92"/>
    <mergeCell ref="A93:I104"/>
    <mergeCell ref="A105:I111"/>
    <mergeCell ref="A124:I128"/>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42708"/>
  </sheetPr>
  <dimension ref="A1:AA330"/>
  <sheetViews>
    <sheetView tabSelected="1" zoomScaleNormal="100" workbookViewId="0">
      <selection activeCell="F4" sqref="F4:J4"/>
    </sheetView>
  </sheetViews>
  <sheetFormatPr defaultRowHeight="15" x14ac:dyDescent="0.25"/>
  <cols>
    <col min="1" max="1" width="6" customWidth="1"/>
    <col min="2" max="2" width="5.28515625" customWidth="1"/>
    <col min="3" max="3" width="0.7109375" style="1" customWidth="1"/>
    <col min="4" max="7" width="6" customWidth="1"/>
    <col min="8" max="8" width="0.7109375" style="1" customWidth="1"/>
    <col min="9" max="9" width="5.28515625" customWidth="1"/>
    <col min="10" max="14" width="6" customWidth="1"/>
    <col min="15" max="15" width="4.5703125" customWidth="1"/>
    <col min="16" max="16" width="7.42578125" customWidth="1"/>
    <col min="17" max="18" width="6" customWidth="1"/>
  </cols>
  <sheetData>
    <row r="1" spans="1:17" ht="18.75" customHeight="1" thickBot="1" x14ac:dyDescent="0.35">
      <c r="A1" s="523" t="s">
        <v>16</v>
      </c>
      <c r="B1" s="524"/>
      <c r="C1" s="524"/>
      <c r="D1" s="524"/>
      <c r="E1" s="524"/>
      <c r="F1" s="524"/>
      <c r="G1" s="524"/>
      <c r="H1" s="524"/>
      <c r="I1" s="524"/>
      <c r="J1" s="524"/>
      <c r="K1" s="524"/>
      <c r="L1" s="524"/>
      <c r="M1" s="524"/>
      <c r="N1" s="524"/>
      <c r="O1" s="524"/>
      <c r="P1" s="524"/>
      <c r="Q1" s="525"/>
    </row>
    <row r="2" spans="1:17" s="3" customFormat="1" ht="3.75" customHeight="1" thickBot="1" x14ac:dyDescent="0.4">
      <c r="A2" s="535"/>
      <c r="B2" s="535"/>
      <c r="C2" s="535"/>
      <c r="D2" s="535"/>
      <c r="E2" s="535"/>
      <c r="F2" s="535"/>
      <c r="G2" s="535"/>
      <c r="H2" s="535"/>
      <c r="I2" s="535"/>
      <c r="J2" s="535"/>
      <c r="K2" s="535"/>
      <c r="L2" s="535"/>
      <c r="M2" s="535"/>
      <c r="N2" s="535"/>
      <c r="O2" s="535"/>
      <c r="P2" s="535"/>
      <c r="Q2" s="535"/>
    </row>
    <row r="3" spans="1:17" ht="14.25" customHeight="1" thickBot="1" x14ac:dyDescent="0.3">
      <c r="A3" s="526" t="s">
        <v>17</v>
      </c>
      <c r="B3" s="527"/>
      <c r="C3" s="550"/>
      <c r="D3" s="392" t="s">
        <v>18</v>
      </c>
      <c r="E3" s="393"/>
      <c r="F3" s="393"/>
      <c r="G3" s="393"/>
      <c r="H3" s="393"/>
      <c r="I3" s="393"/>
      <c r="J3" s="393"/>
      <c r="K3" s="393"/>
      <c r="L3" s="393"/>
      <c r="M3" s="393"/>
      <c r="N3" s="393"/>
      <c r="O3" s="393"/>
      <c r="P3" s="393"/>
      <c r="Q3" s="394"/>
    </row>
    <row r="4" spans="1:17" ht="12.75" customHeight="1" x14ac:dyDescent="0.25">
      <c r="A4" s="114" t="s">
        <v>19</v>
      </c>
      <c r="B4" s="316">
        <f>total_iq</f>
        <v>0</v>
      </c>
      <c r="C4" s="550"/>
      <c r="D4" s="528" t="s">
        <v>20</v>
      </c>
      <c r="E4" s="442"/>
      <c r="F4" s="456"/>
      <c r="G4" s="456"/>
      <c r="H4" s="456"/>
      <c r="I4" s="456"/>
      <c r="J4" s="456"/>
      <c r="K4" s="442" t="s">
        <v>21</v>
      </c>
      <c r="L4" s="442"/>
      <c r="M4" s="442"/>
      <c r="N4" s="532"/>
      <c r="O4" s="532"/>
      <c r="P4" s="532"/>
      <c r="Q4" s="533"/>
    </row>
    <row r="5" spans="1:17" ht="12.75" customHeight="1" x14ac:dyDescent="0.25">
      <c r="A5" s="116" t="s">
        <v>22</v>
      </c>
      <c r="B5" s="317">
        <f>total_me</f>
        <v>0</v>
      </c>
      <c r="C5" s="550"/>
      <c r="D5" s="534" t="s">
        <v>23</v>
      </c>
      <c r="E5" s="477"/>
      <c r="F5" s="440"/>
      <c r="G5" s="441"/>
      <c r="H5" s="530" t="s">
        <v>24</v>
      </c>
      <c r="I5" s="484"/>
      <c r="J5" s="289" t="str">
        <f>IF(hf="", "", hf)</f>
        <v/>
      </c>
      <c r="K5" s="477" t="s">
        <v>25</v>
      </c>
      <c r="L5" s="477"/>
      <c r="M5" s="477"/>
      <c r="N5" s="486"/>
      <c r="O5" s="486"/>
      <c r="P5" s="486"/>
      <c r="Q5" s="531"/>
    </row>
    <row r="6" spans="1:17" ht="12.75" customHeight="1" x14ac:dyDescent="0.25">
      <c r="A6" s="116" t="s">
        <v>26</v>
      </c>
      <c r="B6" s="317">
        <f>total_ma</f>
        <v>0</v>
      </c>
      <c r="C6" s="550"/>
      <c r="D6" s="534" t="s">
        <v>27</v>
      </c>
      <c r="E6" s="477"/>
      <c r="F6" s="435"/>
      <c r="G6" s="435"/>
      <c r="H6" s="435"/>
      <c r="I6" s="435"/>
      <c r="J6" s="435"/>
      <c r="K6" s="477" t="s">
        <v>28</v>
      </c>
      <c r="L6" s="477"/>
      <c r="M6" s="477"/>
      <c r="N6" s="486"/>
      <c r="O6" s="486"/>
      <c r="P6" s="486"/>
      <c r="Q6" s="531"/>
    </row>
    <row r="7" spans="1:17" ht="12.75" customHeight="1" x14ac:dyDescent="0.25">
      <c r="A7" s="116" t="s">
        <v>29</v>
      </c>
      <c r="B7" s="317">
        <f>total_ps</f>
        <v>0</v>
      </c>
      <c r="C7" s="550"/>
      <c r="D7" s="534" t="s">
        <v>30</v>
      </c>
      <c r="E7" s="477"/>
      <c r="F7" s="529">
        <f>0</f>
        <v>0</v>
      </c>
      <c r="G7" s="467"/>
      <c r="H7" s="530" t="s">
        <v>31</v>
      </c>
      <c r="I7" s="484"/>
      <c r="J7" s="319">
        <f>calc_lev</f>
        <v>1</v>
      </c>
      <c r="K7" s="530" t="s">
        <v>32</v>
      </c>
      <c r="L7" s="483"/>
      <c r="M7" s="484"/>
      <c r="N7" s="486"/>
      <c r="O7" s="486"/>
      <c r="P7" s="486"/>
      <c r="Q7" s="531"/>
    </row>
    <row r="8" spans="1:17" ht="12.75" customHeight="1" x14ac:dyDescent="0.25">
      <c r="A8" s="116" t="s">
        <v>33</v>
      </c>
      <c r="B8" s="317">
        <f>total_pp</f>
        <v>0</v>
      </c>
      <c r="C8" s="550"/>
      <c r="D8" s="534" t="s">
        <v>34</v>
      </c>
      <c r="E8" s="477"/>
      <c r="F8" s="529"/>
      <c r="G8" s="467"/>
      <c r="H8" s="530" t="s">
        <v>35</v>
      </c>
      <c r="I8" s="484"/>
      <c r="J8" s="319">
        <f>total_ppe</f>
        <v>0</v>
      </c>
      <c r="K8" s="530" t="s">
        <v>36</v>
      </c>
      <c r="L8" s="483"/>
      <c r="M8" s="484"/>
      <c r="N8" s="435"/>
      <c r="O8" s="435"/>
      <c r="P8" s="435"/>
      <c r="Q8" s="436"/>
    </row>
    <row r="9" spans="1:17" ht="12.75" customHeight="1" x14ac:dyDescent="0.25">
      <c r="A9" s="116" t="s">
        <v>37</v>
      </c>
      <c r="B9" s="317">
        <f>total_pe</f>
        <v>0</v>
      </c>
      <c r="C9" s="550"/>
      <c r="D9" s="536" t="s">
        <v>38</v>
      </c>
      <c r="E9" s="555"/>
      <c r="F9" s="548"/>
      <c r="G9" s="548"/>
      <c r="H9" s="567" t="s">
        <v>39</v>
      </c>
      <c r="I9" s="568"/>
      <c r="J9" s="569"/>
      <c r="K9" s="548"/>
      <c r="L9" s="548"/>
      <c r="M9" s="555" t="s">
        <v>40</v>
      </c>
      <c r="N9" s="555"/>
      <c r="O9" s="555"/>
      <c r="P9" s="486"/>
      <c r="Q9" s="531"/>
    </row>
    <row r="10" spans="1:17" ht="12.75" customHeight="1" x14ac:dyDescent="0.25">
      <c r="A10" s="116" t="s">
        <v>41</v>
      </c>
      <c r="B10" s="317">
        <f>total_pb</f>
        <v>0</v>
      </c>
      <c r="C10" s="550"/>
      <c r="D10" s="534" t="s">
        <v>42</v>
      </c>
      <c r="E10" s="477"/>
      <c r="F10" s="435"/>
      <c r="G10" s="435"/>
      <c r="H10" s="530" t="s">
        <v>43</v>
      </c>
      <c r="I10" s="483"/>
      <c r="J10" s="484"/>
      <c r="K10" s="435"/>
      <c r="L10" s="435"/>
      <c r="M10" s="442" t="s">
        <v>44</v>
      </c>
      <c r="N10" s="442"/>
      <c r="O10" s="442"/>
      <c r="P10" s="486"/>
      <c r="Q10" s="531"/>
    </row>
    <row r="11" spans="1:17" ht="12.75" customHeight="1" thickBot="1" x14ac:dyDescent="0.3">
      <c r="A11" s="125" t="s">
        <v>45</v>
      </c>
      <c r="B11" s="318">
        <f>total_spd</f>
        <v>0</v>
      </c>
      <c r="C11" s="550"/>
      <c r="D11" s="544" t="s">
        <v>46</v>
      </c>
      <c r="E11" s="546"/>
      <c r="F11" s="438"/>
      <c r="G11" s="438"/>
      <c r="H11" s="570" t="s">
        <v>47</v>
      </c>
      <c r="I11" s="453"/>
      <c r="J11" s="454"/>
      <c r="K11" s="438"/>
      <c r="L11" s="438"/>
      <c r="M11" s="546" t="s">
        <v>48</v>
      </c>
      <c r="N11" s="546"/>
      <c r="O11" s="546"/>
      <c r="P11" s="577"/>
      <c r="Q11" s="578"/>
    </row>
    <row r="12" spans="1:17" s="8" customFormat="1" ht="3.75" customHeight="1" thickBot="1" x14ac:dyDescent="0.3">
      <c r="A12" s="549"/>
      <c r="B12" s="549"/>
      <c r="C12" s="549"/>
      <c r="D12" s="549"/>
      <c r="E12" s="549"/>
      <c r="F12" s="549"/>
      <c r="G12" s="549"/>
      <c r="H12" s="549"/>
      <c r="I12" s="549"/>
      <c r="J12" s="549"/>
      <c r="K12" s="549"/>
      <c r="L12" s="549"/>
      <c r="M12" s="549"/>
      <c r="N12" s="549"/>
      <c r="O12" s="549"/>
      <c r="P12" s="549"/>
      <c r="Q12" s="549"/>
    </row>
    <row r="13" spans="1:17" s="3" customFormat="1" ht="14.25" customHeight="1" thickBot="1" x14ac:dyDescent="0.3">
      <c r="A13" s="556" t="s">
        <v>49</v>
      </c>
      <c r="B13" s="557"/>
      <c r="C13" s="557"/>
      <c r="D13" s="557"/>
      <c r="E13" s="557"/>
      <c r="F13" s="557"/>
      <c r="G13" s="557"/>
      <c r="H13" s="557"/>
      <c r="I13" s="557"/>
      <c r="J13" s="557"/>
      <c r="K13" s="557"/>
      <c r="L13" s="557"/>
      <c r="M13" s="557"/>
      <c r="N13" s="557"/>
      <c r="O13" s="557"/>
      <c r="P13" s="557"/>
      <c r="Q13" s="558"/>
    </row>
    <row r="14" spans="1:17" s="3" customFormat="1" ht="12.75" customHeight="1" x14ac:dyDescent="0.25">
      <c r="A14" s="120" t="s">
        <v>50</v>
      </c>
      <c r="B14" s="551">
        <f>_xlfn.IFNA(VLOOKUP(ps_type, Worktable!J52:K54, 2, FALSE), "")</f>
        <v>0</v>
      </c>
      <c r="C14" s="552"/>
      <c r="D14" s="121" t="s">
        <v>51</v>
      </c>
      <c r="E14" s="310">
        <f>B14*2</f>
        <v>0</v>
      </c>
      <c r="F14" s="311" t="s">
        <v>52</v>
      </c>
      <c r="G14" s="559" t="s">
        <v>53</v>
      </c>
      <c r="H14" s="562"/>
      <c r="I14" s="560"/>
      <c r="J14" s="560"/>
      <c r="K14" s="560"/>
      <c r="L14" s="313">
        <f>B11</f>
        <v>0</v>
      </c>
      <c r="M14" s="559" t="s">
        <v>54</v>
      </c>
      <c r="N14" s="560"/>
      <c r="O14" s="560"/>
      <c r="P14" s="560"/>
      <c r="Q14" s="313">
        <f>Q15*40%</f>
        <v>0</v>
      </c>
    </row>
    <row r="15" spans="1:17" s="3" customFormat="1" ht="12.75" customHeight="1" x14ac:dyDescent="0.25">
      <c r="A15" s="534" t="s">
        <v>55</v>
      </c>
      <c r="B15" s="477"/>
      <c r="C15" s="477"/>
      <c r="D15" s="477"/>
      <c r="E15" s="477"/>
      <c r="F15" s="312">
        <f>F16*2</f>
        <v>0</v>
      </c>
      <c r="G15" s="537" t="s">
        <v>56</v>
      </c>
      <c r="H15" s="515"/>
      <c r="I15" s="538"/>
      <c r="J15" s="538"/>
      <c r="K15" s="538"/>
      <c r="L15" s="307">
        <f>B11*5</f>
        <v>0</v>
      </c>
      <c r="M15" s="561" t="s">
        <v>57</v>
      </c>
      <c r="N15" s="538"/>
      <c r="O15" s="538"/>
      <c r="P15" s="538"/>
      <c r="Q15" s="307">
        <f>B7/2</f>
        <v>0</v>
      </c>
    </row>
    <row r="16" spans="1:17" s="3" customFormat="1" ht="12.75" customHeight="1" x14ac:dyDescent="0.25">
      <c r="A16" s="536" t="s">
        <v>58</v>
      </c>
      <c r="B16" s="477"/>
      <c r="C16" s="477"/>
      <c r="D16" s="477"/>
      <c r="E16" s="477"/>
      <c r="F16" s="312">
        <f>IF(total_pe&gt;29, total_pe*2, total_pe)</f>
        <v>0</v>
      </c>
      <c r="G16" s="537" t="s">
        <v>59</v>
      </c>
      <c r="H16" s="514"/>
      <c r="I16" s="514"/>
      <c r="J16" s="514"/>
      <c r="K16" s="515"/>
      <c r="L16" s="307">
        <f>B11*20</f>
        <v>0</v>
      </c>
      <c r="M16" s="537" t="s">
        <v>60</v>
      </c>
      <c r="N16" s="538"/>
      <c r="O16" s="538"/>
      <c r="P16" s="538"/>
      <c r="Q16" s="307">
        <f>Q17*40%</f>
        <v>0</v>
      </c>
    </row>
    <row r="17" spans="1:27" s="3" customFormat="1" ht="12.75" customHeight="1" thickBot="1" x14ac:dyDescent="0.3">
      <c r="A17" s="537" t="s">
        <v>61</v>
      </c>
      <c r="B17" s="538"/>
      <c r="C17" s="538"/>
      <c r="D17" s="538"/>
      <c r="E17" s="538"/>
      <c r="F17" s="307">
        <f>_xlfn.IFNA(VLOOKUP(ps_type, Worktable!J56:K58, 2, FALSE), "")</f>
        <v>50</v>
      </c>
      <c r="G17" s="537" t="s">
        <v>62</v>
      </c>
      <c r="H17" s="515"/>
      <c r="I17" s="538"/>
      <c r="J17" s="538"/>
      <c r="K17" s="538"/>
      <c r="L17" s="307">
        <f>ROUND((B11*3600)/5280, 1)</f>
        <v>0</v>
      </c>
      <c r="M17" s="539" t="s">
        <v>63</v>
      </c>
      <c r="N17" s="540"/>
      <c r="O17" s="540"/>
      <c r="P17" s="540"/>
      <c r="Q17" s="314">
        <f>Q15/2</f>
        <v>0</v>
      </c>
    </row>
    <row r="18" spans="1:27" s="3" customFormat="1" ht="12.75" customHeight="1" x14ac:dyDescent="0.25">
      <c r="A18" s="537" t="s">
        <v>64</v>
      </c>
      <c r="B18" s="538"/>
      <c r="C18" s="538"/>
      <c r="D18" s="538"/>
      <c r="E18" s="538"/>
      <c r="F18" s="307">
        <f>_xlfn.IFNA(VLOOKUP(ps_type, Worktable!J60:K62, 2, FALSE), "")</f>
        <v>25</v>
      </c>
      <c r="G18" s="541" t="s">
        <v>65</v>
      </c>
      <c r="H18" s="542"/>
      <c r="I18" s="543"/>
      <c r="J18" s="543"/>
      <c r="K18" s="543"/>
      <c r="L18" s="307">
        <f>L19/3</f>
        <v>0</v>
      </c>
      <c r="M18" s="449" t="s">
        <v>66</v>
      </c>
      <c r="N18" s="450"/>
      <c r="O18" s="450"/>
      <c r="P18" s="451"/>
      <c r="Q18" s="315" t="str">
        <f>Worktable!K4&amp;" "&amp;percent</f>
        <v>0 %</v>
      </c>
      <c r="W18" s="6"/>
      <c r="X18" s="6"/>
      <c r="Y18" s="6"/>
      <c r="Z18" s="6"/>
      <c r="AA18" s="5"/>
    </row>
    <row r="19" spans="1:27" s="3" customFormat="1" ht="12.75" customHeight="1" thickBot="1" x14ac:dyDescent="0.3">
      <c r="A19" s="553" t="s">
        <v>67</v>
      </c>
      <c r="B19" s="554"/>
      <c r="C19" s="554"/>
      <c r="D19" s="554"/>
      <c r="E19" s="554"/>
      <c r="F19" s="308">
        <f>_xlfn.IFNA(VLOOKUP(ps_type, Worktable!J64:K66, 2, FALSE), "")</f>
        <v>0</v>
      </c>
      <c r="G19" s="544" t="s">
        <v>68</v>
      </c>
      <c r="H19" s="545"/>
      <c r="I19" s="546"/>
      <c r="J19" s="546"/>
      <c r="K19" s="546"/>
      <c r="L19" s="309">
        <f>IF(total_pe&gt;29, total_pe, total_pe/2)</f>
        <v>0</v>
      </c>
      <c r="M19" s="452" t="s">
        <v>69</v>
      </c>
      <c r="N19" s="453"/>
      <c r="O19" s="453"/>
      <c r="P19" s="454"/>
      <c r="Q19" s="309" t="str">
        <f>Worktable!K8&amp;" "&amp;percent</f>
        <v>0 %</v>
      </c>
    </row>
    <row r="20" spans="1:27" s="8" customFormat="1" ht="3.75" customHeight="1" thickBot="1" x14ac:dyDescent="0.3">
      <c r="A20" s="516"/>
      <c r="B20" s="516"/>
      <c r="C20" s="516"/>
      <c r="D20" s="516"/>
      <c r="E20" s="516"/>
      <c r="F20" s="516"/>
      <c r="G20" s="516"/>
      <c r="H20" s="516"/>
      <c r="I20" s="516"/>
      <c r="J20" s="516"/>
      <c r="K20" s="516"/>
      <c r="L20" s="516"/>
      <c r="M20" s="516"/>
      <c r="N20" s="516"/>
      <c r="O20" s="516"/>
      <c r="P20" s="516"/>
      <c r="Q20" s="516"/>
    </row>
    <row r="21" spans="1:27" ht="14.25" customHeight="1" thickBot="1" x14ac:dyDescent="0.3">
      <c r="A21" s="392" t="s">
        <v>70</v>
      </c>
      <c r="B21" s="393"/>
      <c r="C21" s="393"/>
      <c r="D21" s="393"/>
      <c r="E21" s="393"/>
      <c r="F21" s="393"/>
      <c r="G21" s="393"/>
      <c r="H21" s="393"/>
      <c r="I21" s="393"/>
      <c r="J21" s="393"/>
      <c r="K21" s="393"/>
      <c r="L21" s="393"/>
      <c r="M21" s="393"/>
      <c r="N21" s="393"/>
      <c r="O21" s="393"/>
      <c r="P21" s="393"/>
      <c r="Q21" s="394"/>
      <c r="R21" s="1"/>
      <c r="S21" s="1"/>
      <c r="T21" s="1"/>
      <c r="U21" s="1"/>
      <c r="V21" s="1"/>
      <c r="W21" s="1"/>
      <c r="X21" s="1"/>
      <c r="Y21" s="1"/>
      <c r="Z21" s="1"/>
      <c r="AA21" s="1"/>
    </row>
    <row r="22" spans="1:27" ht="12.75" customHeight="1" x14ac:dyDescent="0.25">
      <c r="A22" s="463" t="s">
        <v>71</v>
      </c>
      <c r="B22" s="464"/>
      <c r="C22" s="464"/>
      <c r="D22" s="464"/>
      <c r="E22" s="547"/>
      <c r="F22" s="31" t="s">
        <v>72</v>
      </c>
      <c r="G22" s="463" t="s">
        <v>71</v>
      </c>
      <c r="H22" s="464"/>
      <c r="I22" s="464"/>
      <c r="J22" s="464"/>
      <c r="K22" s="547"/>
      <c r="L22" s="31" t="s">
        <v>72</v>
      </c>
      <c r="M22" s="502" t="s">
        <v>71</v>
      </c>
      <c r="N22" s="503"/>
      <c r="O22" s="503"/>
      <c r="P22" s="503"/>
      <c r="Q22" s="31" t="s">
        <v>72</v>
      </c>
      <c r="R22" s="1"/>
      <c r="S22" s="1"/>
      <c r="T22" s="1"/>
      <c r="U22" s="1"/>
      <c r="V22" s="1"/>
      <c r="W22" s="1"/>
      <c r="X22" s="1"/>
      <c r="Y22" s="1"/>
      <c r="Z22" s="1"/>
      <c r="AA22" s="1"/>
    </row>
    <row r="23" spans="1:27" ht="12.75" customHeight="1" x14ac:dyDescent="0.25">
      <c r="A23" s="504">
        <f>'Skills Worktable'!A2</f>
        <v>0</v>
      </c>
      <c r="B23" s="504"/>
      <c r="C23" s="504"/>
      <c r="D23" s="504"/>
      <c r="E23" s="504"/>
      <c r="F23" s="295" t="str">
        <f>IF('Skills Worktable'!L2&gt;98, 98, 'Skills Worktable'!L2)&amp;" "&amp;percent</f>
        <v>0 %</v>
      </c>
      <c r="G23" s="505">
        <f>'Skills Worktable'!A17</f>
        <v>0</v>
      </c>
      <c r="H23" s="506"/>
      <c r="I23" s="506"/>
      <c r="J23" s="506"/>
      <c r="K23" s="507"/>
      <c r="L23" s="295" t="str">
        <f>IF('Skills Worktable'!L17&gt;98, 98, 'Skills Worktable'!L17)&amp;" "&amp;percent</f>
        <v>0 %</v>
      </c>
      <c r="M23" s="511">
        <f>'Skills Worktable'!A32</f>
        <v>0</v>
      </c>
      <c r="N23" s="512"/>
      <c r="O23" s="512"/>
      <c r="P23" s="512"/>
      <c r="Q23" s="295" t="str">
        <f>IF('Skills Worktable'!L32&gt;98, 98, 'Skills Worktable'!L32)&amp;" "&amp;percent</f>
        <v>0 %</v>
      </c>
      <c r="R23" s="1"/>
      <c r="S23" s="1"/>
      <c r="T23" s="1"/>
      <c r="U23" s="1"/>
      <c r="V23" s="1"/>
      <c r="W23" s="1"/>
      <c r="X23" s="1"/>
      <c r="Y23" s="1"/>
      <c r="Z23" s="1"/>
      <c r="AA23" s="1"/>
    </row>
    <row r="24" spans="1:27" ht="12.75" customHeight="1" x14ac:dyDescent="0.25">
      <c r="A24" s="505">
        <f>'Skills Worktable'!A3</f>
        <v>0</v>
      </c>
      <c r="B24" s="506"/>
      <c r="C24" s="506"/>
      <c r="D24" s="506"/>
      <c r="E24" s="507"/>
      <c r="F24" s="295" t="str">
        <f>IF('Skills Worktable'!L3&gt;98, 98, 'Skills Worktable'!L3)&amp;" "&amp;percent</f>
        <v>0 %</v>
      </c>
      <c r="G24" s="505">
        <f>'Skills Worktable'!A18</f>
        <v>0</v>
      </c>
      <c r="H24" s="506"/>
      <c r="I24" s="506"/>
      <c r="J24" s="506"/>
      <c r="K24" s="507"/>
      <c r="L24" s="295" t="str">
        <f>IF('Skills Worktable'!L18&gt;98, 98, 'Skills Worktable'!L18)&amp;" "&amp;percent</f>
        <v>0 %</v>
      </c>
      <c r="M24" s="511">
        <f>'Skills Worktable'!A33</f>
        <v>0</v>
      </c>
      <c r="N24" s="512"/>
      <c r="O24" s="512"/>
      <c r="P24" s="512"/>
      <c r="Q24" s="295" t="str">
        <f>IF('Skills Worktable'!L33&gt;98, 98, 'Skills Worktable'!L33)&amp;" "&amp;percent</f>
        <v>0 %</v>
      </c>
      <c r="R24" s="1"/>
      <c r="S24" s="1"/>
      <c r="T24" s="1"/>
      <c r="U24" s="1"/>
      <c r="V24" s="1"/>
      <c r="W24" s="1"/>
      <c r="X24" s="1"/>
      <c r="Y24" s="1"/>
      <c r="Z24" s="1"/>
      <c r="AA24" s="1"/>
    </row>
    <row r="25" spans="1:27" ht="12.75" customHeight="1" x14ac:dyDescent="0.25">
      <c r="A25" s="505">
        <f>'Skills Worktable'!A4</f>
        <v>0</v>
      </c>
      <c r="B25" s="506"/>
      <c r="C25" s="506"/>
      <c r="D25" s="506"/>
      <c r="E25" s="507"/>
      <c r="F25" s="295" t="str">
        <f>IF('Skills Worktable'!L4&gt;98, 98, 'Skills Worktable'!L4)&amp;" "&amp;percent</f>
        <v>0 %</v>
      </c>
      <c r="G25" s="505">
        <f>'Skills Worktable'!A19</f>
        <v>0</v>
      </c>
      <c r="H25" s="506"/>
      <c r="I25" s="506"/>
      <c r="J25" s="506"/>
      <c r="K25" s="507"/>
      <c r="L25" s="295" t="str">
        <f>IF('Skills Worktable'!L19&gt;98, 98, 'Skills Worktable'!L19)&amp;" "&amp;percent</f>
        <v>0 %</v>
      </c>
      <c r="M25" s="511">
        <f>'Skills Worktable'!A34</f>
        <v>0</v>
      </c>
      <c r="N25" s="512"/>
      <c r="O25" s="512"/>
      <c r="P25" s="512"/>
      <c r="Q25" s="295" t="str">
        <f>IF('Skills Worktable'!L34&gt;98, 98, 'Skills Worktable'!L34)&amp;" "&amp;percent</f>
        <v>0 %</v>
      </c>
      <c r="R25" s="1"/>
      <c r="S25" s="1"/>
      <c r="T25" s="1"/>
      <c r="U25" s="1"/>
      <c r="V25" s="1"/>
      <c r="W25" s="1"/>
      <c r="X25" s="1"/>
      <c r="Y25" s="1"/>
      <c r="Z25" s="1"/>
      <c r="AA25" s="1"/>
    </row>
    <row r="26" spans="1:27" ht="12.75" customHeight="1" x14ac:dyDescent="0.25">
      <c r="A26" s="505">
        <f>'Skills Worktable'!A5</f>
        <v>0</v>
      </c>
      <c r="B26" s="506"/>
      <c r="C26" s="506"/>
      <c r="D26" s="506"/>
      <c r="E26" s="507"/>
      <c r="F26" s="295" t="str">
        <f>IF('Skills Worktable'!L5&gt;98, 98, 'Skills Worktable'!L5)&amp;" "&amp;percent</f>
        <v>0 %</v>
      </c>
      <c r="G26" s="505">
        <f>'Skills Worktable'!A20</f>
        <v>0</v>
      </c>
      <c r="H26" s="506"/>
      <c r="I26" s="506"/>
      <c r="J26" s="506"/>
      <c r="K26" s="507"/>
      <c r="L26" s="295" t="str">
        <f>IF('Skills Worktable'!L20&gt;98, 98, 'Skills Worktable'!L20)&amp;" "&amp;percent</f>
        <v>0 %</v>
      </c>
      <c r="M26" s="511">
        <f>'Skills Worktable'!A35</f>
        <v>0</v>
      </c>
      <c r="N26" s="512"/>
      <c r="O26" s="512"/>
      <c r="P26" s="512"/>
      <c r="Q26" s="295" t="str">
        <f>IF('Skills Worktable'!L35&gt;98, 98, 'Skills Worktable'!L35)&amp;" "&amp;percent</f>
        <v>0 %</v>
      </c>
      <c r="R26" s="1"/>
      <c r="S26" s="1"/>
      <c r="T26" s="1"/>
      <c r="U26" s="1"/>
      <c r="V26" s="1"/>
      <c r="W26" s="1"/>
      <c r="X26" s="1"/>
      <c r="Y26" s="1"/>
      <c r="Z26" s="1"/>
      <c r="AA26" s="1"/>
    </row>
    <row r="27" spans="1:27" ht="12.75" customHeight="1" x14ac:dyDescent="0.25">
      <c r="A27" s="505">
        <f>'Skills Worktable'!A6</f>
        <v>0</v>
      </c>
      <c r="B27" s="506"/>
      <c r="C27" s="506"/>
      <c r="D27" s="506"/>
      <c r="E27" s="507"/>
      <c r="F27" s="295" t="str">
        <f>IF('Skills Worktable'!L6&gt;98, 98, 'Skills Worktable'!L6)&amp;" "&amp;percent</f>
        <v>0 %</v>
      </c>
      <c r="G27" s="505">
        <f>'Skills Worktable'!A21</f>
        <v>0</v>
      </c>
      <c r="H27" s="506"/>
      <c r="I27" s="506"/>
      <c r="J27" s="506"/>
      <c r="K27" s="507"/>
      <c r="L27" s="295" t="str">
        <f>IF('Skills Worktable'!L21&gt;98, 98, 'Skills Worktable'!L21)&amp;" "&amp;percent</f>
        <v>0 %</v>
      </c>
      <c r="M27" s="511">
        <f>'Skills Worktable'!A36</f>
        <v>0</v>
      </c>
      <c r="N27" s="512"/>
      <c r="O27" s="512"/>
      <c r="P27" s="512"/>
      <c r="Q27" s="295" t="str">
        <f>IF('Skills Worktable'!L36&gt;98, 98, 'Skills Worktable'!L36)&amp;" "&amp;percent</f>
        <v>0 %</v>
      </c>
      <c r="R27" s="1"/>
      <c r="S27" s="1"/>
      <c r="T27" s="1"/>
      <c r="U27" s="1"/>
      <c r="V27" s="1"/>
      <c r="W27" s="1"/>
      <c r="X27" s="1"/>
      <c r="Y27" s="1"/>
      <c r="Z27" s="1"/>
      <c r="AA27" s="1"/>
    </row>
    <row r="28" spans="1:27" ht="12.75" customHeight="1" x14ac:dyDescent="0.25">
      <c r="A28" s="505">
        <f>'Skills Worktable'!A7</f>
        <v>0</v>
      </c>
      <c r="B28" s="506"/>
      <c r="C28" s="506"/>
      <c r="D28" s="506"/>
      <c r="E28" s="507"/>
      <c r="F28" s="295" t="str">
        <f>IF('Skills Worktable'!L7&gt;98, 98, 'Skills Worktable'!L7)&amp;" "&amp;percent</f>
        <v>0 %</v>
      </c>
      <c r="G28" s="505">
        <f>'Skills Worktable'!A22</f>
        <v>0</v>
      </c>
      <c r="H28" s="506"/>
      <c r="I28" s="506"/>
      <c r="J28" s="506"/>
      <c r="K28" s="507"/>
      <c r="L28" s="295" t="str">
        <f>IF('Skills Worktable'!L22&gt;98, 98, 'Skills Worktable'!L22)&amp;" "&amp;percent</f>
        <v>0 %</v>
      </c>
      <c r="M28" s="511">
        <f>'Skills Worktable'!A37</f>
        <v>0</v>
      </c>
      <c r="N28" s="512"/>
      <c r="O28" s="512"/>
      <c r="P28" s="512"/>
      <c r="Q28" s="295" t="str">
        <f>IF('Skills Worktable'!L37&gt;98, 98, 'Skills Worktable'!L37)&amp;" "&amp;percent</f>
        <v>0 %</v>
      </c>
      <c r="R28" s="1"/>
      <c r="S28" s="1"/>
      <c r="T28" s="1"/>
      <c r="U28" s="1"/>
      <c r="V28" s="1"/>
      <c r="W28" s="1"/>
      <c r="X28" s="1"/>
      <c r="Y28" s="1"/>
      <c r="Z28" s="1"/>
      <c r="AA28" s="1"/>
    </row>
    <row r="29" spans="1:27" ht="12.75" customHeight="1" x14ac:dyDescent="0.25">
      <c r="A29" s="505">
        <f>'Skills Worktable'!A8</f>
        <v>0</v>
      </c>
      <c r="B29" s="506"/>
      <c r="C29" s="506"/>
      <c r="D29" s="506"/>
      <c r="E29" s="507"/>
      <c r="F29" s="295" t="str">
        <f>IF('Skills Worktable'!L8&gt;98, 98, 'Skills Worktable'!L8)&amp;" "&amp;percent</f>
        <v>0 %</v>
      </c>
      <c r="G29" s="505">
        <f>'Skills Worktable'!A23</f>
        <v>0</v>
      </c>
      <c r="H29" s="506"/>
      <c r="I29" s="506"/>
      <c r="J29" s="506"/>
      <c r="K29" s="507"/>
      <c r="L29" s="295" t="str">
        <f>IF('Skills Worktable'!L23&gt;98, 98, 'Skills Worktable'!L23)&amp;" "&amp;percent</f>
        <v>0 %</v>
      </c>
      <c r="M29" s="511">
        <f>'Skills Worktable'!A38</f>
        <v>0</v>
      </c>
      <c r="N29" s="512"/>
      <c r="O29" s="512"/>
      <c r="P29" s="512"/>
      <c r="Q29" s="295" t="str">
        <f>IF('Skills Worktable'!L38&gt;98, 98, 'Skills Worktable'!L38)&amp;" "&amp;percent</f>
        <v>0 %</v>
      </c>
      <c r="R29" s="1"/>
      <c r="S29" s="1"/>
      <c r="T29" s="1"/>
      <c r="U29" s="1"/>
      <c r="V29" s="1"/>
      <c r="W29" s="1"/>
      <c r="X29" s="1"/>
      <c r="Y29" s="1"/>
      <c r="Z29" s="1"/>
      <c r="AA29" s="1"/>
    </row>
    <row r="30" spans="1:27" ht="12.75" customHeight="1" x14ac:dyDescent="0.25">
      <c r="A30" s="505">
        <f>'Skills Worktable'!A9</f>
        <v>0</v>
      </c>
      <c r="B30" s="506"/>
      <c r="C30" s="506"/>
      <c r="D30" s="506"/>
      <c r="E30" s="507"/>
      <c r="F30" s="295" t="str">
        <f>IF('Skills Worktable'!L9&gt;98, 98, 'Skills Worktable'!L9)&amp;" "&amp;percent</f>
        <v>0 %</v>
      </c>
      <c r="G30" s="505">
        <f>'Skills Worktable'!A24</f>
        <v>0</v>
      </c>
      <c r="H30" s="506"/>
      <c r="I30" s="506"/>
      <c r="J30" s="506"/>
      <c r="K30" s="507"/>
      <c r="L30" s="295" t="str">
        <f>IF('Skills Worktable'!L24&gt;98, 98, 'Skills Worktable'!L24)&amp;" "&amp;percent</f>
        <v>0 %</v>
      </c>
      <c r="M30" s="511">
        <f>'Skills Worktable'!A39</f>
        <v>0</v>
      </c>
      <c r="N30" s="512"/>
      <c r="O30" s="512"/>
      <c r="P30" s="512"/>
      <c r="Q30" s="295" t="str">
        <f>IF('Skills Worktable'!L39&gt;98, 98, 'Skills Worktable'!L39)&amp;" "&amp;percent</f>
        <v>0 %</v>
      </c>
      <c r="R30" s="1"/>
      <c r="S30" s="1"/>
      <c r="T30" s="1"/>
      <c r="U30" s="1"/>
      <c r="V30" s="1"/>
      <c r="W30" s="1"/>
      <c r="X30" s="1"/>
      <c r="Y30" s="1"/>
      <c r="Z30" s="1"/>
      <c r="AA30" s="1"/>
    </row>
    <row r="31" spans="1:27" ht="12.75" customHeight="1" x14ac:dyDescent="0.25">
      <c r="A31" s="505">
        <f>'Skills Worktable'!A10</f>
        <v>0</v>
      </c>
      <c r="B31" s="506"/>
      <c r="C31" s="506"/>
      <c r="D31" s="506"/>
      <c r="E31" s="507"/>
      <c r="F31" s="295" t="str">
        <f>IF('Skills Worktable'!L10&gt;98, 98, 'Skills Worktable'!L10)&amp;" "&amp;percent</f>
        <v>0 %</v>
      </c>
      <c r="G31" s="505">
        <f>'Skills Worktable'!A25</f>
        <v>0</v>
      </c>
      <c r="H31" s="506"/>
      <c r="I31" s="506"/>
      <c r="J31" s="506"/>
      <c r="K31" s="507"/>
      <c r="L31" s="295" t="str">
        <f>IF('Skills Worktable'!L25&gt;98, 98, 'Skills Worktable'!L25)&amp;" "&amp;percent</f>
        <v>0 %</v>
      </c>
      <c r="M31" s="511">
        <f>'Skills Worktable'!A40</f>
        <v>0</v>
      </c>
      <c r="N31" s="512"/>
      <c r="O31" s="512"/>
      <c r="P31" s="512"/>
      <c r="Q31" s="295" t="str">
        <f>IF('Skills Worktable'!L40&gt;98, 98, 'Skills Worktable'!L40)&amp;" "&amp;percent</f>
        <v>0 %</v>
      </c>
      <c r="R31" s="1"/>
      <c r="S31" s="1"/>
      <c r="T31" s="1"/>
      <c r="U31" s="1"/>
      <c r="V31" s="1"/>
      <c r="W31" s="1"/>
      <c r="X31" s="1"/>
      <c r="Y31" s="1"/>
      <c r="Z31" s="1"/>
      <c r="AA31" s="1"/>
    </row>
    <row r="32" spans="1:27" ht="12.75" customHeight="1" x14ac:dyDescent="0.25">
      <c r="A32" s="505">
        <f>'Skills Worktable'!A11</f>
        <v>0</v>
      </c>
      <c r="B32" s="506"/>
      <c r="C32" s="506"/>
      <c r="D32" s="506"/>
      <c r="E32" s="507"/>
      <c r="F32" s="295" t="str">
        <f>IF('Skills Worktable'!L11&gt;98, 98, 'Skills Worktable'!L11)&amp;" "&amp;percent</f>
        <v>0 %</v>
      </c>
      <c r="G32" s="505">
        <f>'Skills Worktable'!A26</f>
        <v>0</v>
      </c>
      <c r="H32" s="506"/>
      <c r="I32" s="506"/>
      <c r="J32" s="506"/>
      <c r="K32" s="507"/>
      <c r="L32" s="295" t="str">
        <f>IF('Skills Worktable'!L26&gt;98, 98, 'Skills Worktable'!L26)&amp;" "&amp;percent</f>
        <v>0 %</v>
      </c>
      <c r="M32" s="511">
        <f>'Skills Worktable'!A41</f>
        <v>0</v>
      </c>
      <c r="N32" s="512"/>
      <c r="O32" s="512"/>
      <c r="P32" s="512"/>
      <c r="Q32" s="295" t="str">
        <f>IF('Skills Worktable'!L41&gt;98, 98, 'Skills Worktable'!L41)&amp;" "&amp;percent</f>
        <v>0 %</v>
      </c>
      <c r="R32" s="1"/>
      <c r="S32" s="1"/>
      <c r="T32" s="1"/>
      <c r="U32" s="1"/>
      <c r="V32" s="1"/>
      <c r="W32" s="1"/>
      <c r="X32" s="1"/>
      <c r="Y32" s="1"/>
      <c r="Z32" s="1"/>
      <c r="AA32" s="1"/>
    </row>
    <row r="33" spans="1:17" ht="12.75" customHeight="1" x14ac:dyDescent="0.25">
      <c r="A33" s="505">
        <f>'Skills Worktable'!A12</f>
        <v>0</v>
      </c>
      <c r="B33" s="506"/>
      <c r="C33" s="506"/>
      <c r="D33" s="506"/>
      <c r="E33" s="507"/>
      <c r="F33" s="295" t="str">
        <f>IF('Skills Worktable'!L12&gt;98, 98, 'Skills Worktable'!L12)&amp;" "&amp;percent</f>
        <v>0 %</v>
      </c>
      <c r="G33" s="505">
        <f>'Skills Worktable'!A27</f>
        <v>0</v>
      </c>
      <c r="H33" s="506"/>
      <c r="I33" s="506"/>
      <c r="J33" s="506"/>
      <c r="K33" s="507"/>
      <c r="L33" s="295" t="str">
        <f>IF('Skills Worktable'!L27&gt;98, 98, 'Skills Worktable'!L27)&amp;" "&amp;percent</f>
        <v>0 %</v>
      </c>
      <c r="M33" s="511">
        <f>'Skills Worktable'!A42</f>
        <v>0</v>
      </c>
      <c r="N33" s="512"/>
      <c r="O33" s="512"/>
      <c r="P33" s="512"/>
      <c r="Q33" s="295" t="str">
        <f>IF('Skills Worktable'!L42&gt;98, 98, 'Skills Worktable'!L42)&amp;" "&amp;percent</f>
        <v>0 %</v>
      </c>
    </row>
    <row r="34" spans="1:17" ht="12.75" customHeight="1" x14ac:dyDescent="0.25">
      <c r="A34" s="505">
        <f>'Skills Worktable'!A13</f>
        <v>0</v>
      </c>
      <c r="B34" s="506"/>
      <c r="C34" s="506"/>
      <c r="D34" s="506"/>
      <c r="E34" s="507"/>
      <c r="F34" s="295" t="str">
        <f>IF('Skills Worktable'!L13&gt;98, 98, 'Skills Worktable'!L13)&amp;" "&amp;percent</f>
        <v>0 %</v>
      </c>
      <c r="G34" s="505">
        <f>'Skills Worktable'!A28</f>
        <v>0</v>
      </c>
      <c r="H34" s="506"/>
      <c r="I34" s="506"/>
      <c r="J34" s="506"/>
      <c r="K34" s="507"/>
      <c r="L34" s="295" t="str">
        <f>IF('Skills Worktable'!L28&gt;98, 98, 'Skills Worktable'!L28)&amp;" "&amp;percent</f>
        <v>0 %</v>
      </c>
      <c r="M34" s="511">
        <f>'Skills Worktable'!A43</f>
        <v>0</v>
      </c>
      <c r="N34" s="512"/>
      <c r="O34" s="512"/>
      <c r="P34" s="512"/>
      <c r="Q34" s="295" t="str">
        <f>IF('Skills Worktable'!L43&gt;98, 98, 'Skills Worktable'!L43)&amp;" "&amp;percent</f>
        <v>0 %</v>
      </c>
    </row>
    <row r="35" spans="1:17" ht="12.75" customHeight="1" x14ac:dyDescent="0.25">
      <c r="A35" s="505">
        <f>'Skills Worktable'!A14</f>
        <v>0</v>
      </c>
      <c r="B35" s="506"/>
      <c r="C35" s="506"/>
      <c r="D35" s="506"/>
      <c r="E35" s="507"/>
      <c r="F35" s="295" t="str">
        <f>IF('Skills Worktable'!L14&gt;98, 98, 'Skills Worktable'!L14)&amp;" "&amp;percent</f>
        <v>0 %</v>
      </c>
      <c r="G35" s="505">
        <f>'Skills Worktable'!A29</f>
        <v>0</v>
      </c>
      <c r="H35" s="506"/>
      <c r="I35" s="506"/>
      <c r="J35" s="506"/>
      <c r="K35" s="507"/>
      <c r="L35" s="295" t="str">
        <f>IF('Skills Worktable'!L29&gt;98, 98, 'Skills Worktable'!L29)&amp;" "&amp;percent</f>
        <v>0 %</v>
      </c>
      <c r="M35" s="511">
        <f>'Skills Worktable'!A44</f>
        <v>0</v>
      </c>
      <c r="N35" s="512"/>
      <c r="O35" s="512"/>
      <c r="P35" s="512"/>
      <c r="Q35" s="295" t="str">
        <f>IF('Skills Worktable'!L44&gt;98, 98, 'Skills Worktable'!L44)&amp;" "&amp;percent</f>
        <v>0 %</v>
      </c>
    </row>
    <row r="36" spans="1:17" ht="12.75" customHeight="1" x14ac:dyDescent="0.25">
      <c r="A36" s="505">
        <f>'Skills Worktable'!A15</f>
        <v>0</v>
      </c>
      <c r="B36" s="506"/>
      <c r="C36" s="506"/>
      <c r="D36" s="506"/>
      <c r="E36" s="507"/>
      <c r="F36" s="295" t="str">
        <f>IF('Skills Worktable'!L15&gt;98, 98, 'Skills Worktable'!L15)&amp;" "&amp;percent</f>
        <v>0 %</v>
      </c>
      <c r="G36" s="505">
        <f>'Skills Worktable'!A30</f>
        <v>0</v>
      </c>
      <c r="H36" s="506"/>
      <c r="I36" s="506"/>
      <c r="J36" s="506"/>
      <c r="K36" s="507"/>
      <c r="L36" s="295" t="str">
        <f>IF('Skills Worktable'!L30&gt;98, 98, 'Skills Worktable'!L30)&amp;" "&amp;percent</f>
        <v>0 %</v>
      </c>
      <c r="M36" s="511">
        <f>'Skills Worktable'!A45</f>
        <v>0</v>
      </c>
      <c r="N36" s="512"/>
      <c r="O36" s="512"/>
      <c r="P36" s="512"/>
      <c r="Q36" s="295" t="str">
        <f>IF('Skills Worktable'!L45&gt;98, 98, 'Skills Worktable'!L45)&amp;" "&amp;percent</f>
        <v>0 %</v>
      </c>
    </row>
    <row r="37" spans="1:17" ht="12.75" customHeight="1" thickBot="1" x14ac:dyDescent="0.3">
      <c r="A37" s="508">
        <f>'Skills Worktable'!A16</f>
        <v>0</v>
      </c>
      <c r="B37" s="509"/>
      <c r="C37" s="509"/>
      <c r="D37" s="509"/>
      <c r="E37" s="510"/>
      <c r="F37" s="309" t="str">
        <f>IF('Skills Worktable'!L16&gt;98, 98, 'Skills Worktable'!L16)&amp;" "&amp;percent</f>
        <v>0 %</v>
      </c>
      <c r="G37" s="508">
        <f>'Skills Worktable'!A31</f>
        <v>0</v>
      </c>
      <c r="H37" s="509"/>
      <c r="I37" s="509"/>
      <c r="J37" s="509"/>
      <c r="K37" s="510"/>
      <c r="L37" s="309" t="str">
        <f>IF('Skills Worktable'!L31&gt;98, 98, 'Skills Worktable'!L31)&amp;" "&amp;percent</f>
        <v>0 %</v>
      </c>
      <c r="M37" s="520">
        <f>'Skills Worktable'!A46</f>
        <v>0</v>
      </c>
      <c r="N37" s="521"/>
      <c r="O37" s="521"/>
      <c r="P37" s="521"/>
      <c r="Q37" s="309" t="str">
        <f>IF('Skills Worktable'!L46&gt;98, 98, 'Skills Worktable'!L46)&amp;" "&amp;percent</f>
        <v>0 %</v>
      </c>
    </row>
    <row r="38" spans="1:17" s="8" customFormat="1" ht="3.75" customHeight="1" thickBot="1" x14ac:dyDescent="0.3">
      <c r="A38" s="516"/>
      <c r="B38" s="516"/>
      <c r="C38" s="516"/>
      <c r="D38" s="516"/>
      <c r="E38" s="516"/>
      <c r="F38" s="516"/>
      <c r="G38" s="516"/>
      <c r="H38" s="516"/>
      <c r="I38" s="516"/>
      <c r="J38" s="516"/>
      <c r="K38" s="516"/>
      <c r="L38" s="516"/>
      <c r="M38" s="516"/>
      <c r="N38" s="516"/>
      <c r="O38" s="516"/>
      <c r="P38" s="516"/>
      <c r="Q38" s="516"/>
    </row>
    <row r="39" spans="1:17" s="1" customFormat="1" ht="14.25" customHeight="1" thickBot="1" x14ac:dyDescent="0.3">
      <c r="A39" s="392" t="s">
        <v>73</v>
      </c>
      <c r="B39" s="393"/>
      <c r="C39" s="393"/>
      <c r="D39" s="393"/>
      <c r="E39" s="393"/>
      <c r="F39" s="393"/>
      <c r="G39" s="393"/>
      <c r="H39" s="393"/>
      <c r="I39" s="393"/>
      <c r="J39" s="393"/>
      <c r="K39" s="393"/>
      <c r="L39" s="393"/>
      <c r="M39" s="393"/>
      <c r="N39" s="393"/>
      <c r="O39" s="393"/>
      <c r="P39" s="393"/>
      <c r="Q39" s="394"/>
    </row>
    <row r="40" spans="1:17" s="3" customFormat="1" ht="12.75" customHeight="1" x14ac:dyDescent="0.25">
      <c r="A40" s="447" t="s">
        <v>74</v>
      </c>
      <c r="B40" s="448"/>
      <c r="C40" s="448"/>
      <c r="D40" s="448"/>
      <c r="E40" s="303" t="str">
        <f>plus&amp;" "&amp;save_coma&amp;" "&amp;percent</f>
        <v>+ 0 %</v>
      </c>
      <c r="F40" s="517" t="s">
        <v>75</v>
      </c>
      <c r="G40" s="518"/>
      <c r="H40" s="518"/>
      <c r="I40" s="519"/>
      <c r="J40" s="303" t="str">
        <f>plus&amp;" "&amp;save_hf</f>
        <v>+ 0</v>
      </c>
      <c r="K40" s="517" t="s">
        <v>76</v>
      </c>
      <c r="L40" s="518"/>
      <c r="M40" s="519"/>
      <c r="N40" s="303" t="str">
        <f>plus&amp;" "&amp;save_element</f>
        <v>+ 0</v>
      </c>
      <c r="O40" s="517" t="s">
        <v>77</v>
      </c>
      <c r="P40" s="519"/>
      <c r="Q40" s="306" t="str">
        <f>plus&amp;" "&amp;save_possess</f>
        <v>+ 0</v>
      </c>
    </row>
    <row r="41" spans="1:17" s="3" customFormat="1" ht="12.75" customHeight="1" x14ac:dyDescent="0.25">
      <c r="A41" s="513" t="s">
        <v>78</v>
      </c>
      <c r="B41" s="514"/>
      <c r="C41" s="514"/>
      <c r="D41" s="515"/>
      <c r="E41" s="304" t="str">
        <f>plus&amp;" "&amp;save_psi</f>
        <v>+ 0</v>
      </c>
      <c r="F41" s="522" t="s">
        <v>79</v>
      </c>
      <c r="G41" s="514"/>
      <c r="H41" s="514"/>
      <c r="I41" s="515"/>
      <c r="J41" s="304" t="str">
        <f>plus&amp;" "&amp;save_magic</f>
        <v>+ 0</v>
      </c>
      <c r="K41" s="517" t="s">
        <v>80</v>
      </c>
      <c r="L41" s="518"/>
      <c r="M41" s="519"/>
      <c r="N41" s="304" t="str">
        <f>plus&amp;" "&amp;save_poison</f>
        <v>+ 0</v>
      </c>
      <c r="O41" s="517" t="s">
        <v>81</v>
      </c>
      <c r="P41" s="519"/>
      <c r="Q41" s="307" t="str">
        <f>plus&amp;" "&amp;save_illusion</f>
        <v>+ 0</v>
      </c>
    </row>
    <row r="42" spans="1:17" s="3" customFormat="1" ht="12.75" customHeight="1" thickBot="1" x14ac:dyDescent="0.3">
      <c r="A42" s="489" t="s">
        <v>82</v>
      </c>
      <c r="B42" s="490"/>
      <c r="C42" s="490"/>
      <c r="D42" s="491"/>
      <c r="E42" s="305" t="str">
        <f>plus&amp;" "&amp;save_insane</f>
        <v>+ 0</v>
      </c>
      <c r="F42" s="500" t="s">
        <v>83</v>
      </c>
      <c r="G42" s="490"/>
      <c r="H42" s="490"/>
      <c r="I42" s="491"/>
      <c r="J42" s="305" t="str">
        <f>plus&amp;" "&amp;save_faerie</f>
        <v>+ 0</v>
      </c>
      <c r="K42" s="500" t="s">
        <v>84</v>
      </c>
      <c r="L42" s="490"/>
      <c r="M42" s="491"/>
      <c r="N42" s="305" t="str">
        <f>plus&amp;" "&amp;save_disease</f>
        <v>+ 0</v>
      </c>
      <c r="O42" s="500" t="s">
        <v>85</v>
      </c>
      <c r="P42" s="491"/>
      <c r="Q42" s="308" t="str">
        <f>plus&amp;" "&amp;save_control</f>
        <v>+ 0</v>
      </c>
    </row>
    <row r="43" spans="1:17" s="8" customFormat="1" ht="3.75" customHeight="1" thickBot="1" x14ac:dyDescent="0.3">
      <c r="A43" s="516"/>
      <c r="B43" s="516"/>
      <c r="C43" s="516"/>
      <c r="D43" s="516"/>
      <c r="E43" s="516"/>
      <c r="F43" s="516"/>
      <c r="G43" s="516"/>
      <c r="H43" s="516"/>
      <c r="I43" s="516"/>
      <c r="J43" s="516"/>
      <c r="K43" s="516"/>
      <c r="L43" s="516"/>
      <c r="M43" s="516"/>
      <c r="N43" s="516"/>
      <c r="O43" s="516"/>
      <c r="P43" s="516"/>
      <c r="Q43" s="516"/>
    </row>
    <row r="44" spans="1:17" ht="14.25" customHeight="1" thickBot="1" x14ac:dyDescent="0.3">
      <c r="A44" s="392" t="s">
        <v>86</v>
      </c>
      <c r="B44" s="393"/>
      <c r="C44" s="393"/>
      <c r="D44" s="393"/>
      <c r="E44" s="393"/>
      <c r="F44" s="393"/>
      <c r="G44" s="492"/>
      <c r="H44" s="492"/>
      <c r="I44" s="492"/>
      <c r="J44" s="492"/>
      <c r="K44" s="393"/>
      <c r="L44" s="393"/>
      <c r="M44" s="393"/>
      <c r="N44" s="393"/>
      <c r="O44" s="393"/>
      <c r="P44" s="393"/>
      <c r="Q44" s="394"/>
    </row>
    <row r="45" spans="1:17" s="4" customFormat="1" ht="12.75" customHeight="1" x14ac:dyDescent="0.2">
      <c r="A45" s="582" t="s">
        <v>87</v>
      </c>
      <c r="B45" s="583"/>
      <c r="C45" s="583"/>
      <c r="D45" s="594" t="str">
        <f>IF(hth="", "None", hth)</f>
        <v>None</v>
      </c>
      <c r="E45" s="594"/>
      <c r="F45" s="595"/>
      <c r="G45" s="538" t="s">
        <v>88</v>
      </c>
      <c r="H45" s="538"/>
      <c r="I45" s="538"/>
      <c r="J45" s="538"/>
      <c r="K45" s="301">
        <f>total_attack</f>
        <v>0</v>
      </c>
      <c r="L45" s="538" t="s">
        <v>89</v>
      </c>
      <c r="M45" s="538"/>
      <c r="N45" s="298">
        <f>total_hp</f>
        <v>0</v>
      </c>
      <c r="O45" s="522" t="s">
        <v>90</v>
      </c>
      <c r="P45" s="515"/>
      <c r="Q45" s="295">
        <f>total_sdc</f>
        <v>0</v>
      </c>
    </row>
    <row r="46" spans="1:17" ht="12.75" customHeight="1" x14ac:dyDescent="0.25">
      <c r="A46" s="482" t="s">
        <v>91</v>
      </c>
      <c r="B46" s="483"/>
      <c r="C46" s="484"/>
      <c r="D46" s="299" t="str">
        <f>plus&amp;" "&amp;total_initiative</f>
        <v>+ 0</v>
      </c>
      <c r="E46" s="499" t="s">
        <v>92</v>
      </c>
      <c r="F46" s="499"/>
      <c r="G46" s="298" t="str">
        <f>plus&amp;" "&amp;total_strike</f>
        <v>+ 0</v>
      </c>
      <c r="H46" s="477" t="s">
        <v>93</v>
      </c>
      <c r="I46" s="477"/>
      <c r="J46" s="477"/>
      <c r="K46" s="299" t="str">
        <f>plus&amp;" "&amp;total_parry</f>
        <v>+ 0</v>
      </c>
      <c r="L46" s="540" t="s">
        <v>94</v>
      </c>
      <c r="M46" s="540"/>
      <c r="N46" s="299" t="str">
        <f>plus&amp;" "&amp;total_dodge</f>
        <v>+ 0</v>
      </c>
      <c r="O46" s="596" t="s">
        <v>95</v>
      </c>
      <c r="P46" s="597"/>
      <c r="Q46" s="296" t="str">
        <f>plus&amp;" "&amp;total_roll</f>
        <v>+ 0</v>
      </c>
    </row>
    <row r="47" spans="1:17" ht="12.75" customHeight="1" thickBot="1" x14ac:dyDescent="0.3">
      <c r="A47" s="452" t="s">
        <v>96</v>
      </c>
      <c r="B47" s="453"/>
      <c r="C47" s="454"/>
      <c r="D47" s="302" t="str">
        <f>plus&amp;" "&amp;total_pull</f>
        <v>+ 0</v>
      </c>
      <c r="E47" s="501" t="s">
        <v>97</v>
      </c>
      <c r="F47" s="501"/>
      <c r="G47" s="302" t="str">
        <f>plus&amp;" "&amp;total_damage</f>
        <v>+ 0</v>
      </c>
      <c r="H47" s="501" t="s">
        <v>98</v>
      </c>
      <c r="I47" s="501"/>
      <c r="J47" s="501"/>
      <c r="K47" s="300">
        <f>crit</f>
        <v>20</v>
      </c>
      <c r="L47" s="500" t="s">
        <v>99</v>
      </c>
      <c r="M47" s="491"/>
      <c r="N47" s="300" t="str">
        <f>IF(ko="", "", ko)</f>
        <v/>
      </c>
      <c r="O47" s="500" t="s">
        <v>100</v>
      </c>
      <c r="P47" s="491"/>
      <c r="Q47" s="297" t="str">
        <f>IF(db="", "", db)</f>
        <v/>
      </c>
    </row>
    <row r="48" spans="1:17" s="8" customFormat="1" ht="3.75" customHeight="1" thickBot="1" x14ac:dyDescent="0.3">
      <c r="A48" s="516"/>
      <c r="B48" s="516"/>
      <c r="C48" s="516"/>
      <c r="D48" s="516"/>
      <c r="E48" s="516"/>
      <c r="F48" s="516"/>
      <c r="G48" s="516"/>
      <c r="H48" s="516"/>
      <c r="I48" s="516"/>
      <c r="J48" s="516"/>
      <c r="K48" s="516"/>
      <c r="L48" s="516"/>
      <c r="M48" s="516"/>
      <c r="N48" s="516"/>
      <c r="O48" s="516"/>
      <c r="P48" s="516"/>
      <c r="Q48" s="516"/>
    </row>
    <row r="49" spans="1:17" ht="14.25" customHeight="1" thickBot="1" x14ac:dyDescent="0.3">
      <c r="A49" s="392" t="s">
        <v>101</v>
      </c>
      <c r="B49" s="393"/>
      <c r="C49" s="393"/>
      <c r="D49" s="393"/>
      <c r="E49" s="393"/>
      <c r="F49" s="393"/>
      <c r="G49" s="393"/>
      <c r="H49" s="393"/>
      <c r="I49" s="393"/>
      <c r="J49" s="393"/>
      <c r="K49" s="393"/>
      <c r="L49" s="393"/>
      <c r="M49" s="393"/>
      <c r="N49" s="393"/>
      <c r="O49" s="393"/>
      <c r="P49" s="393"/>
      <c r="Q49" s="394"/>
    </row>
    <row r="50" spans="1:17" ht="12.75" customHeight="1" x14ac:dyDescent="0.25">
      <c r="A50" s="584" t="s">
        <v>216</v>
      </c>
      <c r="B50" s="585"/>
      <c r="C50" s="572"/>
      <c r="D50" s="273" t="s">
        <v>102</v>
      </c>
      <c r="E50" s="571" t="str">
        <f>IF(VLOOKUP(TRUE, true_weapons, 3, FALSE)=0, "Basic Punch", VLOOKUP(TRUE, true_weapons, 3, FALSE))</f>
        <v>Basic Punch</v>
      </c>
      <c r="F50" s="572"/>
      <c r="G50" s="273" t="s">
        <v>92</v>
      </c>
      <c r="H50" s="571" t="str">
        <f>plus&amp;" "&amp;VLOOKUP(TRUE, true_weapons, 5, FALSE)+VLOOKUP(TRUE, true_weapons, 10, FALSE)+total_strike</f>
        <v>+ 0</v>
      </c>
      <c r="I50" s="572"/>
      <c r="J50" s="274" t="s">
        <v>93</v>
      </c>
      <c r="K50" s="288" t="str">
        <f>plus&amp;" "&amp;VLOOKUP(TRUE, true_weapons, 6, FALSE)+VLOOKUP(TRUE, true_weapons, 11, FALSE)+total_parry</f>
        <v>+ 0</v>
      </c>
      <c r="L50" s="443" t="s">
        <v>103</v>
      </c>
      <c r="M50" s="444"/>
      <c r="N50" s="291" t="str">
        <f>IF(VLOOKUP(TRUE, true_weapons, 7, FALSE)=0, Combat!AM8, VLOOKUP(TRUE, true_weapons, 7, FALSE)&amp;VLOOKUP(TRUE, true_weapons, 8, FALSE))</f>
        <v>1D4</v>
      </c>
      <c r="O50" s="292" t="str">
        <f>plus&amp;" "&amp;VLOOKUP(TRUE, true_weapons, 9, FALSE)+total_damage</f>
        <v>+ 0</v>
      </c>
      <c r="P50" s="99"/>
      <c r="Q50" s="285"/>
    </row>
    <row r="51" spans="1:17" ht="12.75" customHeight="1" x14ac:dyDescent="0.25">
      <c r="A51" s="586" t="s">
        <v>217</v>
      </c>
      <c r="B51" s="587"/>
      <c r="C51" s="574"/>
      <c r="D51" s="275" t="s">
        <v>102</v>
      </c>
      <c r="E51" s="573" t="str">
        <f>IF(VLOOKUP(TRUE, true_alt, 2, FALSE)=0, "Basic Punch", VLOOKUP(TRUE, true_alt, 2, FALSE))</f>
        <v>Basic Punch</v>
      </c>
      <c r="F51" s="574"/>
      <c r="G51" s="275" t="s">
        <v>92</v>
      </c>
      <c r="H51" s="573" t="str">
        <f>plus&amp;" "&amp;VLOOKUP(TRUE, true_alt, 4, FALSE)+VLOOKUP(TRUE, true_alt, 9, FALSE)+total_strike</f>
        <v>+ 0</v>
      </c>
      <c r="I51" s="574"/>
      <c r="J51" s="275" t="s">
        <v>93</v>
      </c>
      <c r="K51" s="289" t="str">
        <f>plus&amp;" "&amp;VLOOKUP(TRUE, true_alt, 5, FALSE)+VLOOKUP(TRUE, true_alt, 10, FALSE)+total_parry</f>
        <v>+ 0</v>
      </c>
      <c r="L51" s="445" t="s">
        <v>103</v>
      </c>
      <c r="M51" s="446"/>
      <c r="N51" s="293" t="str">
        <f>IF(VLOOKUP(TRUE, true_alt, 6, FALSE)=0, Combat!AM8, VLOOKUP(TRUE, true_alt, 6, FALSE)&amp;VLOOKUP(TRUE, true_alt, 7, FALSE))</f>
        <v>1D4</v>
      </c>
      <c r="O51" s="294" t="str">
        <f>plus&amp;" "&amp;VLOOKUP(TRUE, true_alt, 8, FALSE)+total_damage</f>
        <v>+ 0</v>
      </c>
      <c r="P51" s="100"/>
      <c r="Q51" s="284"/>
    </row>
    <row r="52" spans="1:17" ht="12.75" customHeight="1" thickBot="1" x14ac:dyDescent="0.3">
      <c r="A52" s="588" t="s">
        <v>104</v>
      </c>
      <c r="B52" s="589"/>
      <c r="C52" s="576"/>
      <c r="D52" s="272" t="s">
        <v>102</v>
      </c>
      <c r="E52" s="575" t="str">
        <f>IF(VLOOKUP(TRUE, true_armor, 2, FALSE)=0, "None", VLOOKUP(TRUE, true_armor, 2, FALSE))</f>
        <v>None</v>
      </c>
      <c r="F52" s="576"/>
      <c r="G52" s="272" t="s">
        <v>105</v>
      </c>
      <c r="H52" s="575" t="str">
        <f>IF(VLOOKUP(TRUE, true_armor, 3, FALSE)=0, "", VLOOKUP(TRUE, true_armor, 3, FALSE))</f>
        <v/>
      </c>
      <c r="I52" s="576"/>
      <c r="J52" s="272" t="s">
        <v>90</v>
      </c>
      <c r="K52" s="290" t="str">
        <f>IF(VLOOKUP(TRUE, true_armor, 4, FALSE)=0, "", VLOOKUP(TRUE, true_armor, 4, FALSE))</f>
        <v/>
      </c>
      <c r="L52" s="591" t="s">
        <v>106</v>
      </c>
      <c r="M52" s="592"/>
      <c r="N52" s="575" t="str">
        <f>IF(VLOOKUP(TRUE, true_armor, 5, FALSE)=0, "", VLOOKUP(TRUE, true_armor, 5, FALSE))</f>
        <v/>
      </c>
      <c r="O52" s="589"/>
      <c r="P52" s="589"/>
      <c r="Q52" s="593"/>
    </row>
    <row r="53" spans="1:17" s="8" customFormat="1" ht="3.75" customHeight="1" thickBot="1" x14ac:dyDescent="0.3">
      <c r="A53" s="549"/>
      <c r="B53" s="549"/>
      <c r="C53" s="549"/>
      <c r="D53" s="549"/>
      <c r="E53" s="549"/>
      <c r="F53" s="549"/>
      <c r="G53" s="549"/>
      <c r="H53" s="549"/>
      <c r="I53" s="549"/>
      <c r="J53" s="549"/>
      <c r="K53" s="549"/>
      <c r="L53" s="549"/>
      <c r="M53" s="549"/>
      <c r="N53" s="549"/>
      <c r="O53" s="549"/>
      <c r="P53" s="549"/>
      <c r="Q53" s="549"/>
    </row>
    <row r="54" spans="1:17" ht="14.25" customHeight="1" thickBot="1" x14ac:dyDescent="0.3">
      <c r="A54" s="392" t="s">
        <v>107</v>
      </c>
      <c r="B54" s="393"/>
      <c r="C54" s="393"/>
      <c r="D54" s="393"/>
      <c r="E54" s="393"/>
      <c r="F54" s="393"/>
      <c r="G54" s="393"/>
      <c r="H54" s="393"/>
      <c r="I54" s="393"/>
      <c r="J54" s="393"/>
      <c r="K54" s="393"/>
      <c r="L54" s="393"/>
      <c r="M54" s="393"/>
      <c r="N54" s="393"/>
      <c r="O54" s="393"/>
      <c r="P54" s="393"/>
      <c r="Q54" s="394"/>
    </row>
    <row r="55" spans="1:17" ht="12.75" customHeight="1" x14ac:dyDescent="0.25">
      <c r="A55" s="495"/>
      <c r="B55" s="496"/>
      <c r="C55" s="496"/>
      <c r="D55" s="496"/>
      <c r="E55" s="496"/>
      <c r="F55" s="496"/>
      <c r="G55" s="496"/>
      <c r="H55" s="496"/>
      <c r="I55" s="496"/>
      <c r="J55" s="496"/>
      <c r="K55" s="496"/>
      <c r="L55" s="496"/>
      <c r="M55" s="496"/>
      <c r="N55" s="496"/>
      <c r="O55" s="496"/>
      <c r="P55" s="496"/>
      <c r="Q55" s="497"/>
    </row>
    <row r="56" spans="1:17" ht="12.75" customHeight="1" x14ac:dyDescent="0.25">
      <c r="A56" s="498"/>
      <c r="B56" s="461"/>
      <c r="C56" s="461"/>
      <c r="D56" s="461"/>
      <c r="E56" s="461"/>
      <c r="F56" s="461"/>
      <c r="G56" s="461"/>
      <c r="H56" s="461"/>
      <c r="I56" s="461"/>
      <c r="J56" s="461"/>
      <c r="K56" s="461"/>
      <c r="L56" s="461"/>
      <c r="M56" s="461"/>
      <c r="N56" s="461"/>
      <c r="O56" s="461"/>
      <c r="P56" s="461"/>
      <c r="Q56" s="462"/>
    </row>
    <row r="57" spans="1:17" ht="12.75" customHeight="1" x14ac:dyDescent="0.25">
      <c r="A57" s="498"/>
      <c r="B57" s="461"/>
      <c r="C57" s="461"/>
      <c r="D57" s="461"/>
      <c r="E57" s="461"/>
      <c r="F57" s="461"/>
      <c r="G57" s="461"/>
      <c r="H57" s="461"/>
      <c r="I57" s="461"/>
      <c r="J57" s="461"/>
      <c r="K57" s="461"/>
      <c r="L57" s="461"/>
      <c r="M57" s="461"/>
      <c r="N57" s="461"/>
      <c r="O57" s="461"/>
      <c r="P57" s="461"/>
      <c r="Q57" s="462"/>
    </row>
    <row r="58" spans="1:17" ht="12.75" customHeight="1" x14ac:dyDescent="0.25">
      <c r="A58" s="498"/>
      <c r="B58" s="461"/>
      <c r="C58" s="461"/>
      <c r="D58" s="461"/>
      <c r="E58" s="461"/>
      <c r="F58" s="461"/>
      <c r="G58" s="461"/>
      <c r="H58" s="461"/>
      <c r="I58" s="461"/>
      <c r="J58" s="461"/>
      <c r="K58" s="461"/>
      <c r="L58" s="461"/>
      <c r="M58" s="461"/>
      <c r="N58" s="461"/>
      <c r="O58" s="461"/>
      <c r="P58" s="461"/>
      <c r="Q58" s="462"/>
    </row>
    <row r="59" spans="1:17" ht="12.75" customHeight="1" thickBot="1" x14ac:dyDescent="0.3">
      <c r="A59" s="590"/>
      <c r="B59" s="468"/>
      <c r="C59" s="468"/>
      <c r="D59" s="468"/>
      <c r="E59" s="468"/>
      <c r="F59" s="468"/>
      <c r="G59" s="468"/>
      <c r="H59" s="468"/>
      <c r="I59" s="468"/>
      <c r="J59" s="468"/>
      <c r="K59" s="468"/>
      <c r="L59" s="468"/>
      <c r="M59" s="468"/>
      <c r="N59" s="468"/>
      <c r="O59" s="468"/>
      <c r="P59" s="468"/>
      <c r="Q59" s="470"/>
    </row>
    <row r="60" spans="1:17" s="1" customFormat="1" ht="18.75" customHeight="1" x14ac:dyDescent="0.3">
      <c r="A60" s="598" t="s">
        <v>16</v>
      </c>
      <c r="B60" s="599"/>
      <c r="C60" s="599"/>
      <c r="D60" s="599"/>
      <c r="E60" s="599"/>
      <c r="F60" s="599"/>
      <c r="G60" s="599"/>
      <c r="H60" s="599"/>
      <c r="I60" s="599"/>
      <c r="J60" s="599"/>
      <c r="K60" s="599"/>
      <c r="L60" s="599"/>
      <c r="M60" s="599"/>
      <c r="N60" s="599"/>
      <c r="O60" s="599"/>
      <c r="P60" s="599"/>
      <c r="Q60" s="600"/>
    </row>
    <row r="61" spans="1:17" s="8" customFormat="1" ht="3" customHeight="1" thickBot="1" x14ac:dyDescent="0.4">
      <c r="A61" s="579"/>
      <c r="B61" s="579"/>
      <c r="C61" s="579"/>
      <c r="D61" s="579"/>
      <c r="E61" s="579"/>
      <c r="F61" s="579"/>
      <c r="G61" s="579"/>
      <c r="H61" s="579"/>
      <c r="I61" s="579"/>
      <c r="J61" s="579"/>
      <c r="K61" s="579"/>
      <c r="L61" s="579"/>
      <c r="M61" s="579"/>
      <c r="N61" s="579"/>
      <c r="O61" s="579"/>
      <c r="P61" s="579"/>
      <c r="Q61" s="579"/>
    </row>
    <row r="62" spans="1:17" ht="14.25" customHeight="1" thickBot="1" x14ac:dyDescent="0.3">
      <c r="A62" s="392" t="s">
        <v>108</v>
      </c>
      <c r="B62" s="393"/>
      <c r="C62" s="393"/>
      <c r="D62" s="393"/>
      <c r="E62" s="393"/>
      <c r="F62" s="393"/>
      <c r="G62" s="394"/>
      <c r="H62" s="580"/>
      <c r="I62" s="493" t="s">
        <v>109</v>
      </c>
      <c r="J62" s="492"/>
      <c r="K62" s="492"/>
      <c r="L62" s="492"/>
      <c r="M62" s="492"/>
      <c r="N62" s="492"/>
      <c r="O62" s="492"/>
      <c r="P62" s="492"/>
      <c r="Q62" s="494"/>
    </row>
    <row r="63" spans="1:17" ht="12.75" customHeight="1" x14ac:dyDescent="0.25">
      <c r="A63" s="463" t="s">
        <v>110</v>
      </c>
      <c r="B63" s="464"/>
      <c r="C63" s="464"/>
      <c r="D63" s="464"/>
      <c r="E63" s="464"/>
      <c r="F63" s="464"/>
      <c r="G63" s="465"/>
      <c r="H63" s="580"/>
      <c r="I63" s="502" t="s">
        <v>111</v>
      </c>
      <c r="J63" s="503"/>
      <c r="K63" s="503"/>
      <c r="L63" s="503"/>
      <c r="M63" s="113" t="s">
        <v>112</v>
      </c>
      <c r="N63" s="503" t="s">
        <v>113</v>
      </c>
      <c r="O63" s="503"/>
      <c r="P63" s="113" t="s">
        <v>114</v>
      </c>
      <c r="Q63" s="31" t="s">
        <v>43</v>
      </c>
    </row>
    <row r="64" spans="1:17" ht="12.75" customHeight="1" x14ac:dyDescent="0.25">
      <c r="A64" s="422"/>
      <c r="B64" s="423"/>
      <c r="C64" s="424" t="s">
        <v>398</v>
      </c>
      <c r="D64" s="424"/>
      <c r="E64" s="424"/>
      <c r="F64" s="424"/>
      <c r="G64" s="425"/>
      <c r="H64" s="580"/>
      <c r="I64" s="434"/>
      <c r="J64" s="435"/>
      <c r="K64" s="435"/>
      <c r="L64" s="435"/>
      <c r="M64" s="112"/>
      <c r="N64" s="435"/>
      <c r="O64" s="435"/>
      <c r="P64" s="286"/>
      <c r="Q64" s="122"/>
    </row>
    <row r="65" spans="1:17" ht="12.75" customHeight="1" x14ac:dyDescent="0.25">
      <c r="A65" s="422"/>
      <c r="B65" s="423"/>
      <c r="C65" s="424" t="s">
        <v>399</v>
      </c>
      <c r="D65" s="424"/>
      <c r="E65" s="424"/>
      <c r="F65" s="424"/>
      <c r="G65" s="425"/>
      <c r="H65" s="580"/>
      <c r="I65" s="434"/>
      <c r="J65" s="435"/>
      <c r="K65" s="435"/>
      <c r="L65" s="435"/>
      <c r="M65" s="112"/>
      <c r="N65" s="435"/>
      <c r="O65" s="435"/>
      <c r="P65" s="286"/>
      <c r="Q65" s="122"/>
    </row>
    <row r="66" spans="1:17" ht="12.75" customHeight="1" x14ac:dyDescent="0.25">
      <c r="A66" s="422"/>
      <c r="B66" s="423"/>
      <c r="C66" s="424" t="s">
        <v>400</v>
      </c>
      <c r="D66" s="424"/>
      <c r="E66" s="424"/>
      <c r="F66" s="424"/>
      <c r="G66" s="425"/>
      <c r="H66" s="580"/>
      <c r="I66" s="434"/>
      <c r="J66" s="435"/>
      <c r="K66" s="435"/>
      <c r="L66" s="435"/>
      <c r="M66" s="112"/>
      <c r="N66" s="435"/>
      <c r="O66" s="435"/>
      <c r="P66" s="286"/>
      <c r="Q66" s="122"/>
    </row>
    <row r="67" spans="1:17" ht="12.75" customHeight="1" x14ac:dyDescent="0.25">
      <c r="A67" s="422"/>
      <c r="B67" s="423"/>
      <c r="C67" s="424" t="s">
        <v>401</v>
      </c>
      <c r="D67" s="424"/>
      <c r="E67" s="424"/>
      <c r="F67" s="424"/>
      <c r="G67" s="425"/>
      <c r="H67" s="580"/>
      <c r="I67" s="434"/>
      <c r="J67" s="435"/>
      <c r="K67" s="435"/>
      <c r="L67" s="435"/>
      <c r="M67" s="112"/>
      <c r="N67" s="435"/>
      <c r="O67" s="435"/>
      <c r="P67" s="286"/>
      <c r="Q67" s="122"/>
    </row>
    <row r="68" spans="1:17" ht="12.75" customHeight="1" x14ac:dyDescent="0.25">
      <c r="A68" s="422"/>
      <c r="B68" s="423"/>
      <c r="C68" s="424" t="s">
        <v>402</v>
      </c>
      <c r="D68" s="424"/>
      <c r="E68" s="424"/>
      <c r="F68" s="424"/>
      <c r="G68" s="425"/>
      <c r="H68" s="580"/>
      <c r="I68" s="434"/>
      <c r="J68" s="435"/>
      <c r="K68" s="435"/>
      <c r="L68" s="435"/>
      <c r="M68" s="112"/>
      <c r="N68" s="435"/>
      <c r="O68" s="435"/>
      <c r="P68" s="286"/>
      <c r="Q68" s="122"/>
    </row>
    <row r="69" spans="1:17" ht="12.75" customHeight="1" x14ac:dyDescent="0.25">
      <c r="A69" s="422"/>
      <c r="B69" s="423"/>
      <c r="C69" s="424" t="s">
        <v>403</v>
      </c>
      <c r="D69" s="424"/>
      <c r="E69" s="424"/>
      <c r="F69" s="424"/>
      <c r="G69" s="425"/>
      <c r="H69" s="580"/>
      <c r="I69" s="434"/>
      <c r="J69" s="435"/>
      <c r="K69" s="435"/>
      <c r="L69" s="435"/>
      <c r="M69" s="112"/>
      <c r="N69" s="435"/>
      <c r="O69" s="435"/>
      <c r="P69" s="286"/>
      <c r="Q69" s="122"/>
    </row>
    <row r="70" spans="1:17" ht="12.75" customHeight="1" x14ac:dyDescent="0.25">
      <c r="A70" s="422"/>
      <c r="B70" s="423"/>
      <c r="C70" s="424" t="s">
        <v>404</v>
      </c>
      <c r="D70" s="424"/>
      <c r="E70" s="424"/>
      <c r="F70" s="424"/>
      <c r="G70" s="425"/>
      <c r="H70" s="580"/>
      <c r="I70" s="434"/>
      <c r="J70" s="435"/>
      <c r="K70" s="435"/>
      <c r="L70" s="435"/>
      <c r="M70" s="112"/>
      <c r="N70" s="435"/>
      <c r="O70" s="435"/>
      <c r="P70" s="286"/>
      <c r="Q70" s="122"/>
    </row>
    <row r="71" spans="1:17" ht="12.75" customHeight="1" x14ac:dyDescent="0.25">
      <c r="A71" s="422"/>
      <c r="B71" s="423"/>
      <c r="C71" s="424" t="s">
        <v>405</v>
      </c>
      <c r="D71" s="424"/>
      <c r="E71" s="424"/>
      <c r="F71" s="424"/>
      <c r="G71" s="425"/>
      <c r="H71" s="580"/>
      <c r="I71" s="434"/>
      <c r="J71" s="435"/>
      <c r="K71" s="435"/>
      <c r="L71" s="435"/>
      <c r="M71" s="112"/>
      <c r="N71" s="435"/>
      <c r="O71" s="435"/>
      <c r="P71" s="286"/>
      <c r="Q71" s="122"/>
    </row>
    <row r="72" spans="1:17" ht="12.75" customHeight="1" x14ac:dyDescent="0.25">
      <c r="A72" s="422"/>
      <c r="B72" s="423"/>
      <c r="C72" s="424" t="s">
        <v>406</v>
      </c>
      <c r="D72" s="424"/>
      <c r="E72" s="424"/>
      <c r="F72" s="424"/>
      <c r="G72" s="425"/>
      <c r="H72" s="580"/>
      <c r="I72" s="434"/>
      <c r="J72" s="435"/>
      <c r="K72" s="435"/>
      <c r="L72" s="435"/>
      <c r="M72" s="112"/>
      <c r="N72" s="435"/>
      <c r="O72" s="435"/>
      <c r="P72" s="286"/>
      <c r="Q72" s="122"/>
    </row>
    <row r="73" spans="1:17" ht="12.75" customHeight="1" thickBot="1" x14ac:dyDescent="0.3">
      <c r="A73" s="426"/>
      <c r="B73" s="427"/>
      <c r="C73" s="428" t="s">
        <v>407</v>
      </c>
      <c r="D73" s="428"/>
      <c r="E73" s="428"/>
      <c r="F73" s="428"/>
      <c r="G73" s="429"/>
      <c r="H73" s="580"/>
      <c r="I73" s="434"/>
      <c r="J73" s="435"/>
      <c r="K73" s="435"/>
      <c r="L73" s="435"/>
      <c r="M73" s="112"/>
      <c r="N73" s="435"/>
      <c r="O73" s="435"/>
      <c r="P73" s="286"/>
      <c r="Q73" s="122"/>
    </row>
    <row r="74" spans="1:17" ht="12.75" customHeight="1" thickBot="1" x14ac:dyDescent="0.3">
      <c r="A74" s="430">
        <f>SUM(A64:A73)</f>
        <v>0</v>
      </c>
      <c r="B74" s="431"/>
      <c r="C74" s="432" t="s">
        <v>408</v>
      </c>
      <c r="D74" s="432"/>
      <c r="E74" s="432"/>
      <c r="F74" s="432"/>
      <c r="G74" s="433"/>
      <c r="H74" s="580"/>
      <c r="I74" s="434"/>
      <c r="J74" s="435"/>
      <c r="K74" s="435"/>
      <c r="L74" s="435"/>
      <c r="M74" s="112"/>
      <c r="N74" s="435"/>
      <c r="O74" s="435"/>
      <c r="P74" s="286"/>
      <c r="Q74" s="122"/>
    </row>
    <row r="75" spans="1:17" ht="12.75" customHeight="1" x14ac:dyDescent="0.25">
      <c r="A75" s="458" t="s">
        <v>115</v>
      </c>
      <c r="B75" s="459"/>
      <c r="C75" s="459"/>
      <c r="D75" s="459"/>
      <c r="E75" s="459"/>
      <c r="F75" s="459"/>
      <c r="G75" s="460"/>
      <c r="H75" s="580"/>
      <c r="I75" s="434"/>
      <c r="J75" s="435"/>
      <c r="K75" s="435"/>
      <c r="L75" s="435"/>
      <c r="M75" s="112"/>
      <c r="N75" s="435"/>
      <c r="O75" s="435"/>
      <c r="P75" s="286"/>
      <c r="Q75" s="122"/>
    </row>
    <row r="76" spans="1:17" ht="12.75" customHeight="1" x14ac:dyDescent="0.25">
      <c r="A76" s="49"/>
      <c r="B76" s="461"/>
      <c r="C76" s="461"/>
      <c r="D76" s="441"/>
      <c r="E76" s="48"/>
      <c r="F76" s="461"/>
      <c r="G76" s="462"/>
      <c r="H76" s="580"/>
      <c r="I76" s="434"/>
      <c r="J76" s="435"/>
      <c r="K76" s="435"/>
      <c r="L76" s="435"/>
      <c r="M76" s="112"/>
      <c r="N76" s="435"/>
      <c r="O76" s="435"/>
      <c r="P76" s="286"/>
      <c r="Q76" s="122"/>
    </row>
    <row r="77" spans="1:17" ht="12.75" customHeight="1" x14ac:dyDescent="0.25">
      <c r="A77" s="49"/>
      <c r="B77" s="461"/>
      <c r="C77" s="461"/>
      <c r="D77" s="441"/>
      <c r="E77" s="48"/>
      <c r="F77" s="461"/>
      <c r="G77" s="462"/>
      <c r="H77" s="580"/>
      <c r="I77" s="434"/>
      <c r="J77" s="435"/>
      <c r="K77" s="435"/>
      <c r="L77" s="435"/>
      <c r="M77" s="112"/>
      <c r="N77" s="435"/>
      <c r="O77" s="435"/>
      <c r="P77" s="286"/>
      <c r="Q77" s="122"/>
    </row>
    <row r="78" spans="1:17" ht="12.75" customHeight="1" x14ac:dyDescent="0.25">
      <c r="A78" s="49"/>
      <c r="B78" s="461"/>
      <c r="C78" s="461"/>
      <c r="D78" s="441"/>
      <c r="E78" s="48"/>
      <c r="F78" s="461"/>
      <c r="G78" s="462"/>
      <c r="H78" s="580"/>
      <c r="I78" s="434"/>
      <c r="J78" s="435"/>
      <c r="K78" s="435"/>
      <c r="L78" s="435"/>
      <c r="M78" s="112"/>
      <c r="N78" s="435"/>
      <c r="O78" s="435"/>
      <c r="P78" s="286"/>
      <c r="Q78" s="122"/>
    </row>
    <row r="79" spans="1:17" ht="12.75" customHeight="1" x14ac:dyDescent="0.25">
      <c r="A79" s="49"/>
      <c r="B79" s="461"/>
      <c r="C79" s="461"/>
      <c r="D79" s="441"/>
      <c r="E79" s="48"/>
      <c r="F79" s="461"/>
      <c r="G79" s="462"/>
      <c r="H79" s="580"/>
      <c r="I79" s="434"/>
      <c r="J79" s="435"/>
      <c r="K79" s="435"/>
      <c r="L79" s="435"/>
      <c r="M79" s="112"/>
      <c r="N79" s="435"/>
      <c r="O79" s="435"/>
      <c r="P79" s="286"/>
      <c r="Q79" s="122"/>
    </row>
    <row r="80" spans="1:17" ht="12.75" customHeight="1" x14ac:dyDescent="0.25">
      <c r="A80" s="51"/>
      <c r="B80" s="466"/>
      <c r="C80" s="466"/>
      <c r="D80" s="467"/>
      <c r="E80" s="48"/>
      <c r="F80" s="461"/>
      <c r="G80" s="462"/>
      <c r="H80" s="580"/>
      <c r="I80" s="434"/>
      <c r="J80" s="435"/>
      <c r="K80" s="435"/>
      <c r="L80" s="435"/>
      <c r="M80" s="112"/>
      <c r="N80" s="435"/>
      <c r="O80" s="435"/>
      <c r="P80" s="286"/>
      <c r="Q80" s="122"/>
    </row>
    <row r="81" spans="1:17" ht="12.75" customHeight="1" x14ac:dyDescent="0.25">
      <c r="A81" s="49"/>
      <c r="B81" s="461"/>
      <c r="C81" s="461"/>
      <c r="D81" s="441"/>
      <c r="E81" s="48"/>
      <c r="F81" s="461"/>
      <c r="G81" s="462"/>
      <c r="H81" s="580"/>
      <c r="I81" s="434"/>
      <c r="J81" s="435"/>
      <c r="K81" s="435"/>
      <c r="L81" s="435"/>
      <c r="M81" s="112"/>
      <c r="N81" s="435"/>
      <c r="O81" s="435"/>
      <c r="P81" s="286"/>
      <c r="Q81" s="122"/>
    </row>
    <row r="82" spans="1:17" ht="12.75" customHeight="1" thickBot="1" x14ac:dyDescent="0.3">
      <c r="A82" s="50"/>
      <c r="B82" s="468"/>
      <c r="C82" s="468"/>
      <c r="D82" s="469"/>
      <c r="E82" s="52"/>
      <c r="F82" s="468"/>
      <c r="G82" s="470"/>
      <c r="H82" s="580"/>
      <c r="I82" s="434"/>
      <c r="J82" s="435"/>
      <c r="K82" s="435"/>
      <c r="L82" s="435"/>
      <c r="M82" s="112"/>
      <c r="N82" s="435"/>
      <c r="O82" s="435"/>
      <c r="P82" s="286"/>
      <c r="Q82" s="122"/>
    </row>
    <row r="83" spans="1:17" ht="12.75" customHeight="1" x14ac:dyDescent="0.25">
      <c r="A83" s="471" t="s">
        <v>116</v>
      </c>
      <c r="B83" s="472"/>
      <c r="C83" s="472"/>
      <c r="D83" s="472"/>
      <c r="E83" s="472"/>
      <c r="F83" s="472"/>
      <c r="G83" s="473"/>
      <c r="H83" s="580"/>
      <c r="I83" s="434"/>
      <c r="J83" s="435"/>
      <c r="K83" s="435"/>
      <c r="L83" s="435"/>
      <c r="M83" s="112"/>
      <c r="N83" s="435"/>
      <c r="O83" s="435"/>
      <c r="P83" s="286"/>
      <c r="Q83" s="122"/>
    </row>
    <row r="84" spans="1:17" ht="12.75" customHeight="1" x14ac:dyDescent="0.25">
      <c r="A84" s="434"/>
      <c r="B84" s="435"/>
      <c r="C84" s="435"/>
      <c r="D84" s="435"/>
      <c r="E84" s="435"/>
      <c r="F84" s="435"/>
      <c r="G84" s="436"/>
      <c r="H84" s="580"/>
      <c r="I84" s="434"/>
      <c r="J84" s="435"/>
      <c r="K84" s="435"/>
      <c r="L84" s="435"/>
      <c r="M84" s="112"/>
      <c r="N84" s="435"/>
      <c r="O84" s="435"/>
      <c r="P84" s="286"/>
      <c r="Q84" s="122"/>
    </row>
    <row r="85" spans="1:17" ht="12.75" customHeight="1" x14ac:dyDescent="0.25">
      <c r="A85" s="434"/>
      <c r="B85" s="435"/>
      <c r="C85" s="435"/>
      <c r="D85" s="435"/>
      <c r="E85" s="435"/>
      <c r="F85" s="435"/>
      <c r="G85" s="436"/>
      <c r="H85" s="580"/>
      <c r="I85" s="434"/>
      <c r="J85" s="435"/>
      <c r="K85" s="435"/>
      <c r="L85" s="435"/>
      <c r="M85" s="112"/>
      <c r="N85" s="435"/>
      <c r="O85" s="435"/>
      <c r="P85" s="286"/>
      <c r="Q85" s="122"/>
    </row>
    <row r="86" spans="1:17" ht="12.75" customHeight="1" x14ac:dyDescent="0.25">
      <c r="A86" s="434"/>
      <c r="B86" s="435"/>
      <c r="C86" s="435"/>
      <c r="D86" s="435"/>
      <c r="E86" s="435"/>
      <c r="F86" s="435"/>
      <c r="G86" s="436"/>
      <c r="H86" s="580"/>
      <c r="I86" s="434"/>
      <c r="J86" s="435"/>
      <c r="K86" s="435"/>
      <c r="L86" s="435"/>
      <c r="M86" s="112"/>
      <c r="N86" s="435"/>
      <c r="O86" s="435"/>
      <c r="P86" s="286"/>
      <c r="Q86" s="122"/>
    </row>
    <row r="87" spans="1:17" ht="12.75" customHeight="1" x14ac:dyDescent="0.25">
      <c r="A87" s="434"/>
      <c r="B87" s="435"/>
      <c r="C87" s="435"/>
      <c r="D87" s="435"/>
      <c r="E87" s="435"/>
      <c r="F87" s="435"/>
      <c r="G87" s="436"/>
      <c r="H87" s="580"/>
      <c r="I87" s="434"/>
      <c r="J87" s="435"/>
      <c r="K87" s="435"/>
      <c r="L87" s="435"/>
      <c r="M87" s="112"/>
      <c r="N87" s="435"/>
      <c r="O87" s="435"/>
      <c r="P87" s="286"/>
      <c r="Q87" s="122"/>
    </row>
    <row r="88" spans="1:17" ht="12.75" customHeight="1" x14ac:dyDescent="0.25">
      <c r="A88" s="434"/>
      <c r="B88" s="435"/>
      <c r="C88" s="435"/>
      <c r="D88" s="435"/>
      <c r="E88" s="435"/>
      <c r="F88" s="435"/>
      <c r="G88" s="436"/>
      <c r="H88" s="580"/>
      <c r="I88" s="434"/>
      <c r="J88" s="435"/>
      <c r="K88" s="435"/>
      <c r="L88" s="435"/>
      <c r="M88" s="112"/>
      <c r="N88" s="435"/>
      <c r="O88" s="435"/>
      <c r="P88" s="286"/>
      <c r="Q88" s="122"/>
    </row>
    <row r="89" spans="1:17" ht="12.75" customHeight="1" x14ac:dyDescent="0.25">
      <c r="A89" s="434"/>
      <c r="B89" s="435"/>
      <c r="C89" s="435"/>
      <c r="D89" s="435"/>
      <c r="E89" s="435"/>
      <c r="F89" s="435"/>
      <c r="G89" s="436"/>
      <c r="H89" s="580"/>
      <c r="I89" s="434"/>
      <c r="J89" s="435"/>
      <c r="K89" s="435"/>
      <c r="L89" s="435"/>
      <c r="M89" s="112"/>
      <c r="N89" s="435"/>
      <c r="O89" s="435"/>
      <c r="P89" s="286"/>
      <c r="Q89" s="122"/>
    </row>
    <row r="90" spans="1:17" ht="12.75" customHeight="1" x14ac:dyDescent="0.25">
      <c r="A90" s="434"/>
      <c r="B90" s="435"/>
      <c r="C90" s="435"/>
      <c r="D90" s="435"/>
      <c r="E90" s="435"/>
      <c r="F90" s="435"/>
      <c r="G90" s="436"/>
      <c r="H90" s="580"/>
      <c r="I90" s="434"/>
      <c r="J90" s="435"/>
      <c r="K90" s="435"/>
      <c r="L90" s="435"/>
      <c r="M90" s="112"/>
      <c r="N90" s="435"/>
      <c r="O90" s="435"/>
      <c r="P90" s="286"/>
      <c r="Q90" s="122"/>
    </row>
    <row r="91" spans="1:17" ht="12.75" customHeight="1" x14ac:dyDescent="0.25">
      <c r="A91" s="434"/>
      <c r="B91" s="435"/>
      <c r="C91" s="435"/>
      <c r="D91" s="435"/>
      <c r="E91" s="435"/>
      <c r="F91" s="435"/>
      <c r="G91" s="436"/>
      <c r="H91" s="580"/>
      <c r="I91" s="434"/>
      <c r="J91" s="435"/>
      <c r="K91" s="435"/>
      <c r="L91" s="435"/>
      <c r="M91" s="112"/>
      <c r="N91" s="435"/>
      <c r="O91" s="435"/>
      <c r="P91" s="286"/>
      <c r="Q91" s="122"/>
    </row>
    <row r="92" spans="1:17" ht="12.75" customHeight="1" x14ac:dyDescent="0.25">
      <c r="A92" s="434"/>
      <c r="B92" s="435"/>
      <c r="C92" s="435"/>
      <c r="D92" s="435"/>
      <c r="E92" s="435"/>
      <c r="F92" s="435"/>
      <c r="G92" s="436"/>
      <c r="H92" s="580"/>
      <c r="I92" s="434"/>
      <c r="J92" s="435"/>
      <c r="K92" s="435"/>
      <c r="L92" s="435"/>
      <c r="M92" s="112"/>
      <c r="N92" s="435"/>
      <c r="O92" s="435"/>
      <c r="P92" s="286"/>
      <c r="Q92" s="122"/>
    </row>
    <row r="93" spans="1:17" ht="12.75" customHeight="1" thickBot="1" x14ac:dyDescent="0.3">
      <c r="A93" s="437"/>
      <c r="B93" s="438"/>
      <c r="C93" s="438"/>
      <c r="D93" s="438"/>
      <c r="E93" s="438"/>
      <c r="F93" s="438"/>
      <c r="G93" s="439"/>
      <c r="H93" s="580"/>
      <c r="I93" s="434"/>
      <c r="J93" s="435"/>
      <c r="K93" s="435"/>
      <c r="L93" s="435"/>
      <c r="M93" s="487"/>
      <c r="N93" s="435"/>
      <c r="O93" s="435"/>
      <c r="P93" s="563"/>
      <c r="Q93" s="566"/>
    </row>
    <row r="94" spans="1:17" s="8" customFormat="1" ht="1.5" customHeight="1" x14ac:dyDescent="0.25">
      <c r="A94" s="581"/>
      <c r="B94" s="581"/>
      <c r="C94" s="581"/>
      <c r="D94" s="581"/>
      <c r="E94" s="581"/>
      <c r="F94" s="581"/>
      <c r="G94" s="581"/>
      <c r="H94" s="580"/>
      <c r="I94" s="434"/>
      <c r="J94" s="435"/>
      <c r="K94" s="435"/>
      <c r="L94" s="435"/>
      <c r="M94" s="487"/>
      <c r="N94" s="435"/>
      <c r="O94" s="435"/>
      <c r="P94" s="563"/>
      <c r="Q94" s="566"/>
    </row>
    <row r="95" spans="1:17" s="8" customFormat="1" ht="2.25" customHeight="1" thickBot="1" x14ac:dyDescent="0.3">
      <c r="A95" s="549"/>
      <c r="B95" s="549"/>
      <c r="C95" s="549"/>
      <c r="D95" s="549"/>
      <c r="E95" s="549"/>
      <c r="F95" s="549"/>
      <c r="G95" s="549"/>
      <c r="H95" s="580"/>
      <c r="I95" s="485"/>
      <c r="J95" s="486"/>
      <c r="K95" s="486"/>
      <c r="L95" s="486"/>
      <c r="M95" s="488"/>
      <c r="N95" s="486"/>
      <c r="O95" s="486"/>
      <c r="P95" s="564"/>
      <c r="Q95" s="565"/>
    </row>
    <row r="96" spans="1:17" ht="12.75" customHeight="1" thickBot="1" x14ac:dyDescent="0.3">
      <c r="A96" s="392" t="s">
        <v>117</v>
      </c>
      <c r="B96" s="393"/>
      <c r="C96" s="393"/>
      <c r="D96" s="393"/>
      <c r="E96" s="393"/>
      <c r="F96" s="393"/>
      <c r="G96" s="394"/>
      <c r="H96" s="580"/>
      <c r="I96" s="485"/>
      <c r="J96" s="486"/>
      <c r="K96" s="486"/>
      <c r="L96" s="486"/>
      <c r="M96" s="488"/>
      <c r="N96" s="486"/>
      <c r="O96" s="486"/>
      <c r="P96" s="564"/>
      <c r="Q96" s="565"/>
    </row>
    <row r="97" spans="1:17" ht="12.75" customHeight="1" x14ac:dyDescent="0.25">
      <c r="A97" s="449" t="s">
        <v>20</v>
      </c>
      <c r="B97" s="450"/>
      <c r="C97" s="451"/>
      <c r="D97" s="478"/>
      <c r="E97" s="478"/>
      <c r="F97" s="478"/>
      <c r="G97" s="479"/>
      <c r="H97" s="580"/>
      <c r="I97" s="434"/>
      <c r="J97" s="435"/>
      <c r="K97" s="435"/>
      <c r="L97" s="435"/>
      <c r="M97" s="112"/>
      <c r="N97" s="435"/>
      <c r="O97" s="435"/>
      <c r="P97" s="286"/>
      <c r="Q97" s="122"/>
    </row>
    <row r="98" spans="1:17" ht="12.75" customHeight="1" x14ac:dyDescent="0.25">
      <c r="A98" s="482" t="s">
        <v>118</v>
      </c>
      <c r="B98" s="483"/>
      <c r="C98" s="484"/>
      <c r="D98" s="435"/>
      <c r="E98" s="435"/>
      <c r="F98" s="435"/>
      <c r="G98" s="436"/>
      <c r="H98" s="580"/>
      <c r="I98" s="434"/>
      <c r="J98" s="435"/>
      <c r="K98" s="435"/>
      <c r="L98" s="435"/>
      <c r="M98" s="112"/>
      <c r="N98" s="435"/>
      <c r="O98" s="435"/>
      <c r="P98" s="286"/>
      <c r="Q98" s="122"/>
    </row>
    <row r="99" spans="1:17" ht="12.75" customHeight="1" x14ac:dyDescent="0.25">
      <c r="A99" s="482" t="s">
        <v>119</v>
      </c>
      <c r="B99" s="483"/>
      <c r="C99" s="484"/>
      <c r="D99" s="110"/>
      <c r="E99" s="477" t="s">
        <v>35</v>
      </c>
      <c r="F99" s="477"/>
      <c r="G99" s="111"/>
      <c r="H99" s="580"/>
      <c r="I99" s="434"/>
      <c r="J99" s="435"/>
      <c r="K99" s="435"/>
      <c r="L99" s="435"/>
      <c r="M99" s="112"/>
      <c r="N99" s="435"/>
      <c r="O99" s="435"/>
      <c r="P99" s="286"/>
      <c r="Q99" s="122"/>
    </row>
    <row r="100" spans="1:17" ht="12.75" customHeight="1" x14ac:dyDescent="0.25">
      <c r="A100" s="482" t="s">
        <v>89</v>
      </c>
      <c r="B100" s="483"/>
      <c r="C100" s="484"/>
      <c r="D100" s="110"/>
      <c r="E100" s="477" t="s">
        <v>90</v>
      </c>
      <c r="F100" s="477"/>
      <c r="G100" s="111"/>
      <c r="H100" s="580"/>
      <c r="I100" s="434"/>
      <c r="J100" s="435"/>
      <c r="K100" s="435"/>
      <c r="L100" s="435"/>
      <c r="M100" s="112"/>
      <c r="N100" s="435"/>
      <c r="O100" s="435"/>
      <c r="P100" s="286"/>
      <c r="Q100" s="122"/>
    </row>
    <row r="101" spans="1:17" ht="12.75" customHeight="1" x14ac:dyDescent="0.25">
      <c r="A101" s="482" t="s">
        <v>120</v>
      </c>
      <c r="B101" s="483"/>
      <c r="C101" s="484"/>
      <c r="D101" s="110"/>
      <c r="E101" s="477" t="s">
        <v>91</v>
      </c>
      <c r="F101" s="477"/>
      <c r="G101" s="111"/>
      <c r="H101" s="580"/>
      <c r="I101" s="434"/>
      <c r="J101" s="435"/>
      <c r="K101" s="435"/>
      <c r="L101" s="435"/>
      <c r="M101" s="112"/>
      <c r="N101" s="435"/>
      <c r="O101" s="435"/>
      <c r="P101" s="286"/>
      <c r="Q101" s="122"/>
    </row>
    <row r="102" spans="1:17" ht="12.75" customHeight="1" x14ac:dyDescent="0.25">
      <c r="A102" s="482" t="s">
        <v>92</v>
      </c>
      <c r="B102" s="483"/>
      <c r="C102" s="484"/>
      <c r="D102" s="110"/>
      <c r="E102" s="477" t="s">
        <v>93</v>
      </c>
      <c r="F102" s="477"/>
      <c r="G102" s="111"/>
      <c r="H102" s="580"/>
      <c r="I102" s="434"/>
      <c r="J102" s="435"/>
      <c r="K102" s="435"/>
      <c r="L102" s="435"/>
      <c r="M102" s="112"/>
      <c r="N102" s="435"/>
      <c r="O102" s="435"/>
      <c r="P102" s="286"/>
      <c r="Q102" s="122"/>
    </row>
    <row r="103" spans="1:17" ht="12.75" customHeight="1" x14ac:dyDescent="0.25">
      <c r="A103" s="482" t="s">
        <v>94</v>
      </c>
      <c r="B103" s="483"/>
      <c r="C103" s="484"/>
      <c r="D103" s="110"/>
      <c r="E103" s="477" t="s">
        <v>95</v>
      </c>
      <c r="F103" s="477"/>
      <c r="G103" s="111"/>
      <c r="H103" s="580"/>
      <c r="I103" s="434"/>
      <c r="J103" s="435"/>
      <c r="K103" s="435"/>
      <c r="L103" s="435"/>
      <c r="M103" s="112"/>
      <c r="N103" s="435"/>
      <c r="O103" s="435"/>
      <c r="P103" s="286"/>
      <c r="Q103" s="122"/>
    </row>
    <row r="104" spans="1:17" ht="12.75" customHeight="1" x14ac:dyDescent="0.25">
      <c r="A104" s="482" t="s">
        <v>103</v>
      </c>
      <c r="B104" s="483"/>
      <c r="C104" s="484"/>
      <c r="D104" s="435"/>
      <c r="E104" s="435"/>
      <c r="F104" s="435"/>
      <c r="G104" s="436"/>
      <c r="H104" s="580"/>
      <c r="I104" s="434"/>
      <c r="J104" s="435"/>
      <c r="K104" s="435"/>
      <c r="L104" s="435"/>
      <c r="M104" s="112"/>
      <c r="N104" s="435"/>
      <c r="O104" s="435"/>
      <c r="P104" s="286"/>
      <c r="Q104" s="122"/>
    </row>
    <row r="105" spans="1:17" ht="12.75" customHeight="1" thickBot="1" x14ac:dyDescent="0.3">
      <c r="A105" s="482" t="s">
        <v>121</v>
      </c>
      <c r="B105" s="483"/>
      <c r="C105" s="484"/>
      <c r="D105" s="440"/>
      <c r="E105" s="461"/>
      <c r="F105" s="461"/>
      <c r="G105" s="462"/>
      <c r="H105" s="580"/>
      <c r="I105" s="480"/>
      <c r="J105" s="481"/>
      <c r="K105" s="481"/>
      <c r="L105" s="481"/>
      <c r="M105" s="53"/>
      <c r="N105" s="481"/>
      <c r="O105" s="481"/>
      <c r="P105" s="287"/>
      <c r="Q105" s="54"/>
    </row>
    <row r="106" spans="1:17" ht="12.75" customHeight="1" thickBot="1" x14ac:dyDescent="0.3">
      <c r="A106" s="437"/>
      <c r="B106" s="438"/>
      <c r="C106" s="438"/>
      <c r="D106" s="438"/>
      <c r="E106" s="438"/>
      <c r="F106" s="438"/>
      <c r="G106" s="439"/>
      <c r="H106" s="580"/>
      <c r="I106" s="474" t="s">
        <v>122</v>
      </c>
      <c r="J106" s="475"/>
      <c r="K106" s="475"/>
      <c r="L106" s="475"/>
      <c r="M106" s="320">
        <f>SUM(M64:M105)</f>
        <v>0</v>
      </c>
      <c r="N106" s="476" t="s">
        <v>123</v>
      </c>
      <c r="O106" s="476"/>
      <c r="P106" s="321">
        <f>SUM(P64:P105)</f>
        <v>0</v>
      </c>
      <c r="Q106" s="322">
        <f>SUM(Q64:Q105)</f>
        <v>0</v>
      </c>
    </row>
    <row r="107" spans="1:17" s="8" customFormat="1" ht="3.75" customHeight="1" thickBot="1" x14ac:dyDescent="0.3">
      <c r="A107" s="549"/>
      <c r="B107" s="549"/>
      <c r="C107" s="549"/>
      <c r="D107" s="549"/>
      <c r="E107" s="549"/>
      <c r="F107" s="549"/>
      <c r="G107" s="549"/>
      <c r="H107" s="549"/>
      <c r="I107" s="549"/>
      <c r="J107" s="549"/>
      <c r="K107" s="549"/>
      <c r="L107" s="549"/>
      <c r="M107" s="549"/>
      <c r="N107" s="549"/>
      <c r="O107" s="549"/>
      <c r="P107" s="549"/>
      <c r="Q107" s="549"/>
    </row>
    <row r="108" spans="1:17" ht="14.25" customHeight="1" thickBot="1" x14ac:dyDescent="0.3">
      <c r="A108" s="392" t="s">
        <v>121</v>
      </c>
      <c r="B108" s="393"/>
      <c r="C108" s="393"/>
      <c r="D108" s="393"/>
      <c r="E108" s="393"/>
      <c r="F108" s="393"/>
      <c r="G108" s="393"/>
      <c r="H108" s="393"/>
      <c r="I108" s="393"/>
      <c r="J108" s="393"/>
      <c r="K108" s="393"/>
      <c r="L108" s="393"/>
      <c r="M108" s="393"/>
      <c r="N108" s="393"/>
      <c r="O108" s="393"/>
      <c r="P108" s="393"/>
      <c r="Q108" s="394"/>
    </row>
    <row r="109" spans="1:17" ht="12.75" customHeight="1" x14ac:dyDescent="0.25">
      <c r="A109" s="455"/>
      <c r="B109" s="456"/>
      <c r="C109" s="456"/>
      <c r="D109" s="456"/>
      <c r="E109" s="456"/>
      <c r="F109" s="456"/>
      <c r="G109" s="456"/>
      <c r="H109" s="456"/>
      <c r="I109" s="456"/>
      <c r="J109" s="456"/>
      <c r="K109" s="456"/>
      <c r="L109" s="456"/>
      <c r="M109" s="456"/>
      <c r="N109" s="456"/>
      <c r="O109" s="456"/>
      <c r="P109" s="456"/>
      <c r="Q109" s="457"/>
    </row>
    <row r="110" spans="1:17" ht="12.75" customHeight="1" x14ac:dyDescent="0.25">
      <c r="A110" s="434"/>
      <c r="B110" s="435"/>
      <c r="C110" s="435"/>
      <c r="D110" s="435"/>
      <c r="E110" s="435"/>
      <c r="F110" s="435"/>
      <c r="G110" s="435"/>
      <c r="H110" s="435"/>
      <c r="I110" s="435"/>
      <c r="J110" s="435"/>
      <c r="K110" s="435"/>
      <c r="L110" s="435"/>
      <c r="M110" s="435"/>
      <c r="N110" s="435"/>
      <c r="O110" s="435"/>
      <c r="P110" s="435"/>
      <c r="Q110" s="436"/>
    </row>
    <row r="111" spans="1:17" ht="12.75" customHeight="1" x14ac:dyDescent="0.25">
      <c r="A111" s="434"/>
      <c r="B111" s="435"/>
      <c r="C111" s="435"/>
      <c r="D111" s="435"/>
      <c r="E111" s="435"/>
      <c r="F111" s="435"/>
      <c r="G111" s="435"/>
      <c r="H111" s="435"/>
      <c r="I111" s="435"/>
      <c r="J111" s="435"/>
      <c r="K111" s="435"/>
      <c r="L111" s="435"/>
      <c r="M111" s="435"/>
      <c r="N111" s="435"/>
      <c r="O111" s="435"/>
      <c r="P111" s="435"/>
      <c r="Q111" s="436"/>
    </row>
    <row r="112" spans="1:17" ht="12.75" customHeight="1" x14ac:dyDescent="0.25">
      <c r="A112" s="434"/>
      <c r="B112" s="435"/>
      <c r="C112" s="435"/>
      <c r="D112" s="435"/>
      <c r="E112" s="435"/>
      <c r="F112" s="435"/>
      <c r="G112" s="435"/>
      <c r="H112" s="435"/>
      <c r="I112" s="435"/>
      <c r="J112" s="435"/>
      <c r="K112" s="435"/>
      <c r="L112" s="435"/>
      <c r="M112" s="435"/>
      <c r="N112" s="435"/>
      <c r="O112" s="435"/>
      <c r="P112" s="435"/>
      <c r="Q112" s="436"/>
    </row>
    <row r="113" spans="1:17" ht="12.75" customHeight="1" x14ac:dyDescent="0.25">
      <c r="A113" s="434"/>
      <c r="B113" s="435"/>
      <c r="C113" s="435"/>
      <c r="D113" s="435"/>
      <c r="E113" s="435"/>
      <c r="F113" s="435"/>
      <c r="G113" s="435"/>
      <c r="H113" s="435"/>
      <c r="I113" s="435"/>
      <c r="J113" s="435"/>
      <c r="K113" s="435"/>
      <c r="L113" s="435"/>
      <c r="M113" s="435"/>
      <c r="N113" s="435"/>
      <c r="O113" s="435"/>
      <c r="P113" s="435"/>
      <c r="Q113" s="436"/>
    </row>
    <row r="114" spans="1:17" ht="12.75" customHeight="1" x14ac:dyDescent="0.25">
      <c r="A114" s="434"/>
      <c r="B114" s="435"/>
      <c r="C114" s="435"/>
      <c r="D114" s="435"/>
      <c r="E114" s="435"/>
      <c r="F114" s="435"/>
      <c r="G114" s="435"/>
      <c r="H114" s="435"/>
      <c r="I114" s="435"/>
      <c r="J114" s="435"/>
      <c r="K114" s="435"/>
      <c r="L114" s="435"/>
      <c r="M114" s="435"/>
      <c r="N114" s="435"/>
      <c r="O114" s="435"/>
      <c r="P114" s="435"/>
      <c r="Q114" s="436"/>
    </row>
    <row r="115" spans="1:17" ht="12.75" customHeight="1" x14ac:dyDescent="0.25">
      <c r="A115" s="434"/>
      <c r="B115" s="435"/>
      <c r="C115" s="435"/>
      <c r="D115" s="435"/>
      <c r="E115" s="435"/>
      <c r="F115" s="435"/>
      <c r="G115" s="435"/>
      <c r="H115" s="435"/>
      <c r="I115" s="435"/>
      <c r="J115" s="435"/>
      <c r="K115" s="435"/>
      <c r="L115" s="435"/>
      <c r="M115" s="435"/>
      <c r="N115" s="435"/>
      <c r="O115" s="435"/>
      <c r="P115" s="435"/>
      <c r="Q115" s="436"/>
    </row>
    <row r="116" spans="1:17" ht="12.75" customHeight="1" x14ac:dyDescent="0.25">
      <c r="A116" s="434"/>
      <c r="B116" s="435"/>
      <c r="C116" s="435"/>
      <c r="D116" s="435"/>
      <c r="E116" s="435"/>
      <c r="F116" s="435"/>
      <c r="G116" s="435"/>
      <c r="H116" s="435"/>
      <c r="I116" s="435"/>
      <c r="J116" s="435"/>
      <c r="K116" s="435"/>
      <c r="L116" s="435"/>
      <c r="M116" s="435"/>
      <c r="N116" s="435"/>
      <c r="O116" s="435"/>
      <c r="P116" s="435"/>
      <c r="Q116" s="436"/>
    </row>
    <row r="117" spans="1:17" ht="12.75" customHeight="1" thickBot="1" x14ac:dyDescent="0.3">
      <c r="A117" s="437"/>
      <c r="B117" s="438"/>
      <c r="C117" s="438"/>
      <c r="D117" s="438"/>
      <c r="E117" s="438"/>
      <c r="F117" s="438"/>
      <c r="G117" s="438"/>
      <c r="H117" s="438"/>
      <c r="I117" s="438"/>
      <c r="J117" s="438"/>
      <c r="K117" s="438"/>
      <c r="L117" s="438"/>
      <c r="M117" s="438"/>
      <c r="N117" s="438"/>
      <c r="O117" s="438"/>
      <c r="P117" s="438"/>
      <c r="Q117" s="439"/>
    </row>
    <row r="118" spans="1:17" ht="12.75" customHeight="1" x14ac:dyDescent="0.25">
      <c r="A118" s="1"/>
      <c r="B118" s="1"/>
      <c r="D118" s="1"/>
      <c r="E118" s="1"/>
      <c r="F118" s="1"/>
      <c r="G118" s="1"/>
      <c r="I118" s="1"/>
      <c r="J118" s="1"/>
      <c r="K118" s="1"/>
      <c r="L118" s="1"/>
      <c r="M118" s="1"/>
      <c r="N118" s="1"/>
      <c r="O118" s="1"/>
      <c r="P118" s="1"/>
      <c r="Q118" s="1"/>
    </row>
    <row r="119" spans="1:17" ht="12.75" customHeight="1" x14ac:dyDescent="0.25">
      <c r="A119" s="1"/>
      <c r="B119" s="1"/>
      <c r="D119" s="1"/>
      <c r="E119" s="1"/>
      <c r="F119" s="1"/>
      <c r="G119" s="1"/>
      <c r="I119" s="1"/>
      <c r="J119" s="1"/>
      <c r="K119" s="1"/>
      <c r="L119" s="1"/>
      <c r="M119" s="1"/>
      <c r="N119" s="1"/>
      <c r="O119" s="1"/>
      <c r="P119" s="1"/>
      <c r="Q119" s="1"/>
    </row>
    <row r="120" spans="1:17" ht="12.75" customHeight="1" x14ac:dyDescent="0.25">
      <c r="A120" s="1"/>
      <c r="B120" s="1"/>
      <c r="D120" s="1"/>
      <c r="E120" s="1"/>
      <c r="F120" s="1"/>
      <c r="G120" s="1"/>
      <c r="I120" s="1"/>
      <c r="J120" s="1"/>
      <c r="K120" s="1"/>
      <c r="L120" s="1"/>
      <c r="M120" s="1"/>
      <c r="N120" s="1"/>
      <c r="O120" s="1"/>
      <c r="P120" s="1"/>
      <c r="Q120" s="1"/>
    </row>
    <row r="121" spans="1:17" ht="12.75" customHeight="1" x14ac:dyDescent="0.25">
      <c r="A121" s="1"/>
      <c r="B121" s="1"/>
      <c r="D121" s="1"/>
      <c r="E121" s="1"/>
      <c r="F121" s="1"/>
      <c r="G121" s="1"/>
      <c r="I121" s="1"/>
      <c r="J121" s="1"/>
      <c r="K121" s="1"/>
      <c r="L121" s="1"/>
      <c r="M121" s="1"/>
      <c r="N121" s="1"/>
      <c r="O121" s="1"/>
      <c r="P121" s="1"/>
      <c r="Q121" s="1"/>
    </row>
    <row r="122" spans="1:17" ht="12.75" customHeight="1" x14ac:dyDescent="0.25">
      <c r="A122" s="1"/>
      <c r="B122" s="1"/>
      <c r="D122" s="1"/>
      <c r="E122" s="1"/>
      <c r="F122" s="1"/>
      <c r="G122" s="1"/>
      <c r="I122" s="1"/>
      <c r="J122" s="1"/>
      <c r="K122" s="1"/>
      <c r="L122" s="1"/>
      <c r="M122" s="1"/>
      <c r="N122" s="1"/>
      <c r="O122" s="1"/>
      <c r="P122" s="1"/>
      <c r="Q122" s="1"/>
    </row>
    <row r="123" spans="1:17" ht="12.75" customHeight="1" x14ac:dyDescent="0.25">
      <c r="A123" s="1"/>
      <c r="B123" s="1"/>
      <c r="D123" s="1"/>
      <c r="E123" s="1"/>
      <c r="F123" s="1"/>
      <c r="G123" s="1"/>
      <c r="I123" s="1"/>
      <c r="J123" s="1"/>
      <c r="K123" s="1"/>
      <c r="L123" s="1"/>
      <c r="M123" s="1"/>
      <c r="N123" s="1"/>
      <c r="O123" s="1"/>
      <c r="P123" s="1"/>
      <c r="Q123" s="1"/>
    </row>
    <row r="124" spans="1:17" ht="12.75" customHeight="1" x14ac:dyDescent="0.25">
      <c r="A124" s="1"/>
      <c r="B124" s="1"/>
      <c r="D124" s="1"/>
      <c r="E124" s="1"/>
      <c r="F124" s="1"/>
      <c r="G124" s="1"/>
      <c r="I124" s="1"/>
      <c r="J124" s="1"/>
      <c r="K124" s="1"/>
      <c r="L124" s="1"/>
      <c r="M124" s="1"/>
      <c r="N124" s="1"/>
      <c r="O124" s="1"/>
      <c r="P124" s="1"/>
      <c r="Q124" s="1"/>
    </row>
    <row r="125" spans="1:17" ht="12.75" customHeight="1" x14ac:dyDescent="0.25">
      <c r="A125" s="1"/>
      <c r="B125" s="1"/>
      <c r="D125" s="1"/>
      <c r="E125" s="1"/>
      <c r="F125" s="1"/>
      <c r="G125" s="1"/>
      <c r="I125" s="1"/>
      <c r="J125" s="1"/>
      <c r="K125" s="1"/>
      <c r="L125" s="1"/>
      <c r="M125" s="1"/>
      <c r="N125" s="1"/>
      <c r="O125" s="1"/>
      <c r="P125" s="1"/>
      <c r="Q125" s="1"/>
    </row>
    <row r="126" spans="1:17" ht="12.75" customHeight="1" x14ac:dyDescent="0.25">
      <c r="A126" s="1"/>
      <c r="B126" s="1"/>
      <c r="D126" s="1"/>
      <c r="E126" s="1"/>
      <c r="F126" s="1"/>
      <c r="G126" s="1"/>
      <c r="I126" s="1"/>
      <c r="J126" s="1"/>
      <c r="K126" s="1"/>
      <c r="L126" s="1"/>
      <c r="M126" s="1"/>
      <c r="N126" s="1"/>
      <c r="O126" s="1"/>
      <c r="P126" s="1"/>
      <c r="Q126" s="1"/>
    </row>
    <row r="127" spans="1:17" ht="12.75" customHeight="1" x14ac:dyDescent="0.25">
      <c r="A127" s="1"/>
      <c r="B127" s="1"/>
      <c r="D127" s="1"/>
      <c r="E127" s="1"/>
      <c r="F127" s="1"/>
      <c r="G127" s="1"/>
      <c r="I127" s="1"/>
      <c r="J127" s="1"/>
      <c r="K127" s="1"/>
      <c r="L127" s="1"/>
      <c r="M127" s="1"/>
      <c r="N127" s="1"/>
      <c r="O127" s="1"/>
      <c r="P127" s="1"/>
      <c r="Q127" s="1"/>
    </row>
    <row r="128" spans="1:17" ht="12.75" customHeight="1" x14ac:dyDescent="0.25">
      <c r="A128" s="1"/>
      <c r="B128" s="1"/>
      <c r="D128" s="1"/>
      <c r="E128" s="1"/>
      <c r="F128" s="1"/>
      <c r="G128" s="1"/>
      <c r="I128" s="1"/>
      <c r="J128" s="1"/>
      <c r="K128" s="1"/>
      <c r="L128" s="1"/>
      <c r="M128" s="1"/>
      <c r="N128" s="1"/>
      <c r="O128" s="1"/>
      <c r="P128" s="1"/>
      <c r="Q128" s="1"/>
    </row>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sheetData>
  <sheetProtection selectLockedCells="1"/>
  <mergeCells count="345">
    <mergeCell ref="A107:Q107"/>
    <mergeCell ref="H62:H106"/>
    <mergeCell ref="A94:G95"/>
    <mergeCell ref="A45:C45"/>
    <mergeCell ref="A50:C50"/>
    <mergeCell ref="A51:C51"/>
    <mergeCell ref="A52:C52"/>
    <mergeCell ref="A57:Q57"/>
    <mergeCell ref="A58:Q58"/>
    <mergeCell ref="A59:Q59"/>
    <mergeCell ref="E50:F50"/>
    <mergeCell ref="E51:F51"/>
    <mergeCell ref="E52:F52"/>
    <mergeCell ref="L52:M52"/>
    <mergeCell ref="N52:Q52"/>
    <mergeCell ref="A49:Q49"/>
    <mergeCell ref="D45:F45"/>
    <mergeCell ref="G45:J45"/>
    <mergeCell ref="O45:P45"/>
    <mergeCell ref="L45:M45"/>
    <mergeCell ref="B76:D76"/>
    <mergeCell ref="O46:P46"/>
    <mergeCell ref="L46:M46"/>
    <mergeCell ref="A60:Q60"/>
    <mergeCell ref="I63:L63"/>
    <mergeCell ref="N63:O63"/>
    <mergeCell ref="I64:L64"/>
    <mergeCell ref="N64:O64"/>
    <mergeCell ref="N75:O75"/>
    <mergeCell ref="N76:O76"/>
    <mergeCell ref="A48:Q48"/>
    <mergeCell ref="A53:Q53"/>
    <mergeCell ref="A61:Q61"/>
    <mergeCell ref="I73:L73"/>
    <mergeCell ref="I74:L74"/>
    <mergeCell ref="I75:L75"/>
    <mergeCell ref="N72:O72"/>
    <mergeCell ref="N73:O73"/>
    <mergeCell ref="N74:O74"/>
    <mergeCell ref="N71:O71"/>
    <mergeCell ref="C68:G68"/>
    <mergeCell ref="A69:B69"/>
    <mergeCell ref="C69:G69"/>
    <mergeCell ref="A70:B70"/>
    <mergeCell ref="C70:G70"/>
    <mergeCell ref="A71:B71"/>
    <mergeCell ref="C71:G71"/>
    <mergeCell ref="P93:P94"/>
    <mergeCell ref="P95:P96"/>
    <mergeCell ref="Q95:Q96"/>
    <mergeCell ref="Q93:Q94"/>
    <mergeCell ref="H5:I5"/>
    <mergeCell ref="H7:I7"/>
    <mergeCell ref="H8:I8"/>
    <mergeCell ref="H9:J9"/>
    <mergeCell ref="H10:J10"/>
    <mergeCell ref="H11:J11"/>
    <mergeCell ref="H46:J46"/>
    <mergeCell ref="H47:J47"/>
    <mergeCell ref="H50:I50"/>
    <mergeCell ref="H51:I51"/>
    <mergeCell ref="H52:I52"/>
    <mergeCell ref="P11:Q11"/>
    <mergeCell ref="M9:O9"/>
    <mergeCell ref="P9:Q9"/>
    <mergeCell ref="P10:Q10"/>
    <mergeCell ref="M28:P28"/>
    <mergeCell ref="M29:P29"/>
    <mergeCell ref="I66:L66"/>
    <mergeCell ref="K9:L9"/>
    <mergeCell ref="K10:L10"/>
    <mergeCell ref="F9:G9"/>
    <mergeCell ref="F10:G10"/>
    <mergeCell ref="F11:G11"/>
    <mergeCell ref="K11:L11"/>
    <mergeCell ref="M11:O11"/>
    <mergeCell ref="A12:Q12"/>
    <mergeCell ref="C3:C11"/>
    <mergeCell ref="A20:Q20"/>
    <mergeCell ref="A38:Q38"/>
    <mergeCell ref="B14:C14"/>
    <mergeCell ref="A19:E19"/>
    <mergeCell ref="A18:E18"/>
    <mergeCell ref="A17:E17"/>
    <mergeCell ref="A29:E29"/>
    <mergeCell ref="D9:E9"/>
    <mergeCell ref="D10:E10"/>
    <mergeCell ref="D11:E11"/>
    <mergeCell ref="G16:K16"/>
    <mergeCell ref="A13:Q13"/>
    <mergeCell ref="M16:P16"/>
    <mergeCell ref="M14:P14"/>
    <mergeCell ref="M15:P15"/>
    <mergeCell ref="G15:K15"/>
    <mergeCell ref="G14:K14"/>
    <mergeCell ref="A15:E15"/>
    <mergeCell ref="G26:K26"/>
    <mergeCell ref="G27:K27"/>
    <mergeCell ref="A16:E16"/>
    <mergeCell ref="A34:E34"/>
    <mergeCell ref="G17:K17"/>
    <mergeCell ref="M17:P17"/>
    <mergeCell ref="M23:P23"/>
    <mergeCell ref="M24:P24"/>
    <mergeCell ref="M25:P25"/>
    <mergeCell ref="M26:P26"/>
    <mergeCell ref="M27:P27"/>
    <mergeCell ref="M30:P30"/>
    <mergeCell ref="M32:P32"/>
    <mergeCell ref="M33:P33"/>
    <mergeCell ref="M34:P34"/>
    <mergeCell ref="A30:E30"/>
    <mergeCell ref="A31:E31"/>
    <mergeCell ref="G18:K18"/>
    <mergeCell ref="G19:K19"/>
    <mergeCell ref="A27:E27"/>
    <mergeCell ref="A21:Q21"/>
    <mergeCell ref="A22:E22"/>
    <mergeCell ref="G22:K22"/>
    <mergeCell ref="A1:Q1"/>
    <mergeCell ref="A3:B3"/>
    <mergeCell ref="D4:E4"/>
    <mergeCell ref="F7:G7"/>
    <mergeCell ref="F8:G8"/>
    <mergeCell ref="D3:Q3"/>
    <mergeCell ref="F4:J4"/>
    <mergeCell ref="F6:J6"/>
    <mergeCell ref="K6:M6"/>
    <mergeCell ref="K7:M7"/>
    <mergeCell ref="K8:M8"/>
    <mergeCell ref="N6:Q6"/>
    <mergeCell ref="N7:Q7"/>
    <mergeCell ref="N8:Q8"/>
    <mergeCell ref="N5:Q5"/>
    <mergeCell ref="K4:M4"/>
    <mergeCell ref="N4:Q4"/>
    <mergeCell ref="D5:E5"/>
    <mergeCell ref="D6:E6"/>
    <mergeCell ref="D7:E7"/>
    <mergeCell ref="K5:M5"/>
    <mergeCell ref="D8:E8"/>
    <mergeCell ref="A2:Q2"/>
    <mergeCell ref="A37:E37"/>
    <mergeCell ref="M31:P31"/>
    <mergeCell ref="G28:K28"/>
    <mergeCell ref="A41:D41"/>
    <mergeCell ref="G35:K35"/>
    <mergeCell ref="G36:K36"/>
    <mergeCell ref="A43:Q43"/>
    <mergeCell ref="F42:I42"/>
    <mergeCell ref="K40:M40"/>
    <mergeCell ref="K41:M41"/>
    <mergeCell ref="K42:M42"/>
    <mergeCell ref="O40:P40"/>
    <mergeCell ref="O41:P41"/>
    <mergeCell ref="O42:P42"/>
    <mergeCell ref="M37:P37"/>
    <mergeCell ref="G37:K37"/>
    <mergeCell ref="M35:P35"/>
    <mergeCell ref="M36:P36"/>
    <mergeCell ref="F40:I40"/>
    <mergeCell ref="F41:I41"/>
    <mergeCell ref="A28:E28"/>
    <mergeCell ref="A32:E32"/>
    <mergeCell ref="A33:E33"/>
    <mergeCell ref="A39:Q39"/>
    <mergeCell ref="M22:P22"/>
    <mergeCell ref="A23:E23"/>
    <mergeCell ref="G23:K23"/>
    <mergeCell ref="G24:K24"/>
    <mergeCell ref="G25:K25"/>
    <mergeCell ref="N77:O77"/>
    <mergeCell ref="A24:E24"/>
    <mergeCell ref="A25:E25"/>
    <mergeCell ref="A26:E26"/>
    <mergeCell ref="I67:L67"/>
    <mergeCell ref="I68:L68"/>
    <mergeCell ref="I69:L69"/>
    <mergeCell ref="I70:L70"/>
    <mergeCell ref="I71:L71"/>
    <mergeCell ref="I72:L72"/>
    <mergeCell ref="I65:L65"/>
    <mergeCell ref="G33:K33"/>
    <mergeCell ref="G34:K34"/>
    <mergeCell ref="G29:K29"/>
    <mergeCell ref="G30:K30"/>
    <mergeCell ref="G31:K31"/>
    <mergeCell ref="G32:K32"/>
    <mergeCell ref="A35:E35"/>
    <mergeCell ref="A36:E36"/>
    <mergeCell ref="A42:D42"/>
    <mergeCell ref="A44:Q44"/>
    <mergeCell ref="N78:O78"/>
    <mergeCell ref="I62:Q62"/>
    <mergeCell ref="F76:G76"/>
    <mergeCell ref="F77:G77"/>
    <mergeCell ref="F78:G78"/>
    <mergeCell ref="B77:D77"/>
    <mergeCell ref="B78:D78"/>
    <mergeCell ref="A46:C46"/>
    <mergeCell ref="A47:C47"/>
    <mergeCell ref="A54:Q54"/>
    <mergeCell ref="A55:Q55"/>
    <mergeCell ref="A56:Q56"/>
    <mergeCell ref="E46:F46"/>
    <mergeCell ref="L47:M47"/>
    <mergeCell ref="O47:P47"/>
    <mergeCell ref="E47:F47"/>
    <mergeCell ref="N65:O65"/>
    <mergeCell ref="N66:O66"/>
    <mergeCell ref="N67:O67"/>
    <mergeCell ref="N68:O68"/>
    <mergeCell ref="N69:O69"/>
    <mergeCell ref="N70:O70"/>
    <mergeCell ref="N84:O84"/>
    <mergeCell ref="N85:O85"/>
    <mergeCell ref="N79:O79"/>
    <mergeCell ref="N80:O80"/>
    <mergeCell ref="N81:O81"/>
    <mergeCell ref="N82:O82"/>
    <mergeCell ref="N83:O83"/>
    <mergeCell ref="I86:L86"/>
    <mergeCell ref="I87:L87"/>
    <mergeCell ref="N86:O86"/>
    <mergeCell ref="N87:O87"/>
    <mergeCell ref="A100:C100"/>
    <mergeCell ref="A101:C101"/>
    <mergeCell ref="A102:C102"/>
    <mergeCell ref="A103:C103"/>
    <mergeCell ref="I88:L88"/>
    <mergeCell ref="I76:L76"/>
    <mergeCell ref="I77:L77"/>
    <mergeCell ref="I78:L78"/>
    <mergeCell ref="I79:L79"/>
    <mergeCell ref="I80:L80"/>
    <mergeCell ref="I81:L81"/>
    <mergeCell ref="I82:L82"/>
    <mergeCell ref="I83:L83"/>
    <mergeCell ref="I84:L84"/>
    <mergeCell ref="I85:L85"/>
    <mergeCell ref="I95:L96"/>
    <mergeCell ref="I93:L94"/>
    <mergeCell ref="M93:M94"/>
    <mergeCell ref="M95:M96"/>
    <mergeCell ref="N93:O94"/>
    <mergeCell ref="N95:O96"/>
    <mergeCell ref="A97:C97"/>
    <mergeCell ref="A98:C98"/>
    <mergeCell ref="A99:C99"/>
    <mergeCell ref="N98:O98"/>
    <mergeCell ref="N99:O99"/>
    <mergeCell ref="N100:O100"/>
    <mergeCell ref="A104:C104"/>
    <mergeCell ref="A105:C105"/>
    <mergeCell ref="N88:O88"/>
    <mergeCell ref="N89:O89"/>
    <mergeCell ref="N90:O90"/>
    <mergeCell ref="N91:O91"/>
    <mergeCell ref="N92:O92"/>
    <mergeCell ref="N104:O104"/>
    <mergeCell ref="N105:O105"/>
    <mergeCell ref="N101:O101"/>
    <mergeCell ref="N102:O102"/>
    <mergeCell ref="A92:G92"/>
    <mergeCell ref="A93:G93"/>
    <mergeCell ref="N103:O103"/>
    <mergeCell ref="I89:L89"/>
    <mergeCell ref="I90:L90"/>
    <mergeCell ref="I91:L91"/>
    <mergeCell ref="I92:L92"/>
    <mergeCell ref="I97:L97"/>
    <mergeCell ref="I98:L98"/>
    <mergeCell ref="I99:L99"/>
    <mergeCell ref="A90:G90"/>
    <mergeCell ref="A91:G91"/>
    <mergeCell ref="F81:G81"/>
    <mergeCell ref="F82:G82"/>
    <mergeCell ref="A83:G83"/>
    <mergeCell ref="I106:L106"/>
    <mergeCell ref="N106:O106"/>
    <mergeCell ref="A96:G96"/>
    <mergeCell ref="D104:G104"/>
    <mergeCell ref="E103:F103"/>
    <mergeCell ref="E102:F102"/>
    <mergeCell ref="E101:F101"/>
    <mergeCell ref="E100:F100"/>
    <mergeCell ref="D97:G97"/>
    <mergeCell ref="D98:G98"/>
    <mergeCell ref="E99:F99"/>
    <mergeCell ref="A106:G106"/>
    <mergeCell ref="I100:L100"/>
    <mergeCell ref="I101:L101"/>
    <mergeCell ref="I102:L102"/>
    <mergeCell ref="I103:L103"/>
    <mergeCell ref="I104:L104"/>
    <mergeCell ref="I105:L105"/>
    <mergeCell ref="N97:O97"/>
    <mergeCell ref="A85:G85"/>
    <mergeCell ref="A75:G75"/>
    <mergeCell ref="D105:G105"/>
    <mergeCell ref="A62:G62"/>
    <mergeCell ref="A63:G63"/>
    <mergeCell ref="F79:G79"/>
    <mergeCell ref="F80:G80"/>
    <mergeCell ref="B79:D79"/>
    <mergeCell ref="B80:D80"/>
    <mergeCell ref="B81:D81"/>
    <mergeCell ref="B82:D82"/>
    <mergeCell ref="A64:B64"/>
    <mergeCell ref="C64:G64"/>
    <mergeCell ref="A65:B65"/>
    <mergeCell ref="C65:G65"/>
    <mergeCell ref="A66:B66"/>
    <mergeCell ref="C66:G66"/>
    <mergeCell ref="A67:B67"/>
    <mergeCell ref="C67:G67"/>
    <mergeCell ref="A68:B68"/>
    <mergeCell ref="A86:G86"/>
    <mergeCell ref="A87:G87"/>
    <mergeCell ref="A88:G88"/>
    <mergeCell ref="A89:G89"/>
    <mergeCell ref="A72:B72"/>
    <mergeCell ref="C72:G72"/>
    <mergeCell ref="A73:B73"/>
    <mergeCell ref="C73:G73"/>
    <mergeCell ref="A74:B74"/>
    <mergeCell ref="C74:G74"/>
    <mergeCell ref="A116:Q116"/>
    <mergeCell ref="A117:Q117"/>
    <mergeCell ref="F5:G5"/>
    <mergeCell ref="M10:O10"/>
    <mergeCell ref="L50:M50"/>
    <mergeCell ref="L51:M51"/>
    <mergeCell ref="A40:D40"/>
    <mergeCell ref="M18:P18"/>
    <mergeCell ref="M19:P19"/>
    <mergeCell ref="A108:Q108"/>
    <mergeCell ref="A109:Q109"/>
    <mergeCell ref="A110:Q110"/>
    <mergeCell ref="A111:Q111"/>
    <mergeCell ref="A112:Q112"/>
    <mergeCell ref="A113:Q113"/>
    <mergeCell ref="A114:Q114"/>
    <mergeCell ref="A115:Q115"/>
    <mergeCell ref="A84:G84"/>
  </mergeCells>
  <pageMargins left="0.7" right="0.7" top="0.75" bottom="0.75" header="0.3" footer="0.3"/>
  <pageSetup orientation="portrait" horizontalDpi="4294967293" r:id="rId1"/>
  <headerFooter>
    <oddFooter>&amp;L&amp;8Copyright Palladium Books.      Palladium Fantasy is a Trademark of Palladium Books.&amp;R&amp;8For personal use only.</oddFooter>
  </headerFooter>
  <ignoredErrors>
    <ignoredError sqref="Q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71"/>
  <sheetViews>
    <sheetView zoomScaleNormal="100" workbookViewId="0">
      <selection activeCell="B3" sqref="B3"/>
    </sheetView>
  </sheetViews>
  <sheetFormatPr defaultRowHeight="15" x14ac:dyDescent="0.25"/>
  <cols>
    <col min="2" max="5" width="7.140625" customWidth="1"/>
    <col min="6" max="6" width="8.140625" customWidth="1"/>
    <col min="7" max="7" width="7.140625" customWidth="1"/>
    <col min="8" max="8" width="12.140625" customWidth="1"/>
    <col min="9" max="9" width="6.42578125" customWidth="1"/>
    <col min="10" max="10" width="12.85546875" customWidth="1"/>
    <col min="11" max="11" width="5.7109375" customWidth="1"/>
  </cols>
  <sheetData>
    <row r="1" spans="1:11" ht="30" customHeight="1" thickBot="1" x14ac:dyDescent="0.3">
      <c r="A1" s="124" t="s">
        <v>124</v>
      </c>
      <c r="B1" s="126" t="s">
        <v>125</v>
      </c>
      <c r="C1" s="126" t="s">
        <v>126</v>
      </c>
      <c r="D1" s="126" t="s">
        <v>127</v>
      </c>
      <c r="E1" s="126" t="s">
        <v>128</v>
      </c>
      <c r="F1" s="126" t="s">
        <v>129</v>
      </c>
      <c r="G1" s="126" t="s">
        <v>130</v>
      </c>
      <c r="H1" s="630" t="s">
        <v>131</v>
      </c>
      <c r="I1" s="631"/>
      <c r="J1" s="631"/>
      <c r="K1" s="632"/>
    </row>
    <row r="2" spans="1:11" x14ac:dyDescent="0.25">
      <c r="A2" s="15" t="s">
        <v>19</v>
      </c>
      <c r="B2" s="55"/>
      <c r="C2" s="55"/>
      <c r="D2" s="55"/>
      <c r="E2" s="55"/>
      <c r="F2" s="55"/>
      <c r="G2" s="323">
        <f>SUM(B2:F2)</f>
        <v>0</v>
      </c>
      <c r="H2" s="463" t="s">
        <v>70</v>
      </c>
      <c r="I2" s="464"/>
      <c r="J2" s="547"/>
      <c r="K2" s="327">
        <f>IF(total_iq&gt;30, (ROUNDDOWN((total_iq-30)/5, 0))*2+16, IF(total_iq&gt;15, total_iq-14,0))</f>
        <v>0</v>
      </c>
    </row>
    <row r="3" spans="1:11" x14ac:dyDescent="0.25">
      <c r="A3" s="13" t="s">
        <v>22</v>
      </c>
      <c r="B3" s="56"/>
      <c r="C3" s="56"/>
      <c r="D3" s="56"/>
      <c r="E3" s="56"/>
      <c r="F3" s="56"/>
      <c r="G3" s="324">
        <f>SUM(B3:F3)</f>
        <v>0</v>
      </c>
      <c r="H3" s="118" t="s">
        <v>132</v>
      </c>
      <c r="I3" s="326">
        <f>IF(total_me&gt;29, 8, IF(total_me&gt;15, ROUNDDOWN((total_me-14)/2,0), 0))</f>
        <v>0</v>
      </c>
      <c r="J3" s="119" t="s">
        <v>82</v>
      </c>
      <c r="K3" s="312">
        <f>IF(total_me&gt;29, 13, IF(total_me&gt;19, total_me-17, IF(total_me&gt;15, ROUNDDOWN((total_me-14)/2,0), 0)))</f>
        <v>0</v>
      </c>
    </row>
    <row r="4" spans="1:11" x14ac:dyDescent="0.25">
      <c r="A4" s="13" t="s">
        <v>26</v>
      </c>
      <c r="B4" s="56"/>
      <c r="C4" s="56"/>
      <c r="D4" s="56"/>
      <c r="E4" s="56"/>
      <c r="F4" s="56"/>
      <c r="G4" s="324">
        <f t="shared" ref="G4:G9" si="0">SUM(B4:F4)</f>
        <v>0</v>
      </c>
      <c r="H4" s="625" t="s">
        <v>66</v>
      </c>
      <c r="I4" s="626"/>
      <c r="J4" s="542"/>
      <c r="K4" s="312">
        <f>IF(total_ma&gt;29, 97, IF(total_ma=29, 96, IF(total_ma=28, 94, IF(total_ma=27, 92, IF(total_ma=26, 88, IF(total_ma=25, 84, IF(total_ma&gt;15, (total_ma-8)*5, 0)))))))</f>
        <v>0</v>
      </c>
    </row>
    <row r="5" spans="1:11" x14ac:dyDescent="0.25">
      <c r="A5" s="13" t="s">
        <v>29</v>
      </c>
      <c r="B5" s="56"/>
      <c r="C5" s="56"/>
      <c r="D5" s="56"/>
      <c r="E5" s="56"/>
      <c r="F5" s="56"/>
      <c r="G5" s="324">
        <f t="shared" si="0"/>
        <v>0</v>
      </c>
      <c r="H5" s="625" t="s">
        <v>133</v>
      </c>
      <c r="I5" s="626"/>
      <c r="J5" s="542"/>
      <c r="K5" s="312">
        <f>IF(total_ps&gt;15, total_ps-15, 0)</f>
        <v>0</v>
      </c>
    </row>
    <row r="6" spans="1:11" x14ac:dyDescent="0.25">
      <c r="A6" s="13" t="s">
        <v>33</v>
      </c>
      <c r="B6" s="56"/>
      <c r="C6" s="56"/>
      <c r="D6" s="56"/>
      <c r="E6" s="56"/>
      <c r="F6" s="56"/>
      <c r="G6" s="324">
        <f t="shared" si="0"/>
        <v>0</v>
      </c>
      <c r="H6" s="625" t="s">
        <v>134</v>
      </c>
      <c r="I6" s="626"/>
      <c r="J6" s="542"/>
      <c r="K6" s="312">
        <f>IF(total_pp&gt;29, 8, IF(total_pp&gt;15, ROUNDDOWN((total_pp-14)/2,0), 0))</f>
        <v>0</v>
      </c>
    </row>
    <row r="7" spans="1:11" x14ac:dyDescent="0.25">
      <c r="A7" s="13" t="s">
        <v>37</v>
      </c>
      <c r="B7" s="56"/>
      <c r="C7" s="56"/>
      <c r="D7" s="56"/>
      <c r="E7" s="56"/>
      <c r="F7" s="56"/>
      <c r="G7" s="324">
        <f t="shared" si="0"/>
        <v>0</v>
      </c>
      <c r="H7" s="118" t="s">
        <v>74</v>
      </c>
      <c r="I7" s="326">
        <f>IF(total_pe&gt;29, total_pe, IF(total_pe&gt;17, (total_pe-15)*2, IF(total_pe&gt;15, total_pe-12, 0)))</f>
        <v>0</v>
      </c>
      <c r="J7" s="119" t="s">
        <v>135</v>
      </c>
      <c r="K7" s="312">
        <f>IF(total_pe&gt;15, ROUNDDOWN((total_pe-14)/2,0), 0)</f>
        <v>0</v>
      </c>
    </row>
    <row r="8" spans="1:11" x14ac:dyDescent="0.25">
      <c r="A8" s="13" t="s">
        <v>41</v>
      </c>
      <c r="B8" s="56"/>
      <c r="C8" s="56"/>
      <c r="D8" s="56"/>
      <c r="E8" s="56"/>
      <c r="F8" s="56"/>
      <c r="G8" s="324">
        <f t="shared" si="0"/>
        <v>0</v>
      </c>
      <c r="H8" s="625" t="s">
        <v>69</v>
      </c>
      <c r="I8" s="626"/>
      <c r="J8" s="542"/>
      <c r="K8" s="312">
        <f>IF(total_pb&gt;29, 92, IF(total_pb=29, 90, IF(total_pb=28, 86, IF(total_pb=27, 83, IF(total_pb&gt;15, (total_pb-10)*5, 0)))))</f>
        <v>0</v>
      </c>
    </row>
    <row r="9" spans="1:11" ht="15.75" thickBot="1" x14ac:dyDescent="0.3">
      <c r="A9" s="14" t="s">
        <v>45</v>
      </c>
      <c r="B9" s="57"/>
      <c r="C9" s="57"/>
      <c r="D9" s="57"/>
      <c r="E9" s="57"/>
      <c r="F9" s="57"/>
      <c r="G9" s="325">
        <f t="shared" si="0"/>
        <v>0</v>
      </c>
      <c r="H9" s="627" t="s">
        <v>136</v>
      </c>
      <c r="I9" s="628"/>
      <c r="J9" s="628"/>
      <c r="K9" s="629"/>
    </row>
    <row r="10" spans="1:11" ht="15.75" thickBot="1" x14ac:dyDescent="0.3">
      <c r="A10" s="2"/>
      <c r="B10" s="2"/>
      <c r="C10" s="2"/>
      <c r="D10" s="2"/>
      <c r="E10" s="2"/>
      <c r="F10" s="2"/>
      <c r="G10" s="2"/>
      <c r="H10" s="2"/>
      <c r="I10" s="2"/>
      <c r="J10" s="2"/>
      <c r="K10" s="2"/>
    </row>
    <row r="11" spans="1:11" s="1" customFormat="1" x14ac:dyDescent="0.25">
      <c r="A11" s="648" t="s">
        <v>87</v>
      </c>
      <c r="B11" s="649"/>
      <c r="C11" s="478"/>
      <c r="D11" s="478"/>
      <c r="E11" s="478"/>
      <c r="F11" s="649" t="s">
        <v>164</v>
      </c>
      <c r="G11" s="649"/>
      <c r="H11" s="160"/>
      <c r="I11" s="649" t="s">
        <v>284</v>
      </c>
      <c r="J11" s="649"/>
      <c r="K11" s="161"/>
    </row>
    <row r="12" spans="1:11" s="1" customFormat="1" ht="15.75" thickBot="1" x14ac:dyDescent="0.3">
      <c r="A12" s="650" t="s">
        <v>98</v>
      </c>
      <c r="B12" s="651"/>
      <c r="C12" s="652">
        <v>20</v>
      </c>
      <c r="D12" s="468"/>
      <c r="E12" s="469"/>
      <c r="F12" s="651" t="s">
        <v>99</v>
      </c>
      <c r="G12" s="651"/>
      <c r="H12" s="158"/>
      <c r="I12" s="651" t="s">
        <v>100</v>
      </c>
      <c r="J12" s="651"/>
      <c r="K12" s="159"/>
    </row>
    <row r="13" spans="1:11" s="1" customFormat="1" ht="15.75" thickBot="1" x14ac:dyDescent="0.3">
      <c r="A13" s="2"/>
      <c r="B13" s="2"/>
      <c r="C13" s="2"/>
      <c r="D13" s="2"/>
      <c r="E13" s="2"/>
      <c r="F13" s="2"/>
      <c r="G13" s="2"/>
      <c r="H13" s="2"/>
      <c r="I13" s="2"/>
      <c r="J13" s="2"/>
      <c r="K13" s="2"/>
    </row>
    <row r="14" spans="1:11" s="1" customFormat="1" ht="30" customHeight="1" thickBot="1" x14ac:dyDescent="0.3">
      <c r="A14" s="613" t="s">
        <v>137</v>
      </c>
      <c r="B14" s="619"/>
      <c r="C14" s="126" t="s">
        <v>138</v>
      </c>
      <c r="D14" s="126" t="s">
        <v>139</v>
      </c>
      <c r="E14" s="126" t="s">
        <v>126</v>
      </c>
      <c r="F14" s="126" t="s">
        <v>140</v>
      </c>
      <c r="G14" s="126" t="s">
        <v>128</v>
      </c>
      <c r="H14" s="46" t="s">
        <v>141</v>
      </c>
      <c r="I14" s="2"/>
      <c r="J14" s="613" t="s">
        <v>89</v>
      </c>
      <c r="K14" s="614"/>
    </row>
    <row r="15" spans="1:11" s="1" customFormat="1" x14ac:dyDescent="0.25">
      <c r="A15" s="528" t="s">
        <v>120</v>
      </c>
      <c r="B15" s="442"/>
      <c r="C15" s="17"/>
      <c r="D15" s="55"/>
      <c r="E15" s="55"/>
      <c r="F15" s="55"/>
      <c r="G15" s="55"/>
      <c r="H15" s="328">
        <f>SUM(C15:G15)</f>
        <v>0</v>
      </c>
      <c r="I15" s="2"/>
      <c r="J15" s="128" t="s">
        <v>138</v>
      </c>
      <c r="K15" s="330">
        <f>total_pe</f>
        <v>0</v>
      </c>
    </row>
    <row r="16" spans="1:11" ht="15" customHeight="1" x14ac:dyDescent="0.25">
      <c r="A16" s="534" t="s">
        <v>91</v>
      </c>
      <c r="B16" s="477"/>
      <c r="C16" s="326">
        <f>IF(total_pp&gt;45, 6, IF(total_pp&gt;30, ROUNDUP((total_pp-30)/3,0), 0))</f>
        <v>0</v>
      </c>
      <c r="D16" s="56"/>
      <c r="E16" s="56"/>
      <c r="F16" s="56"/>
      <c r="G16" s="56"/>
      <c r="H16" s="312">
        <f>SUM(C16:G16)</f>
        <v>0</v>
      </c>
      <c r="I16" s="2"/>
      <c r="J16" s="116" t="s">
        <v>142</v>
      </c>
      <c r="K16" s="111"/>
    </row>
    <row r="17" spans="1:11" x14ac:dyDescent="0.25">
      <c r="A17" s="534" t="s">
        <v>92</v>
      </c>
      <c r="B17" s="477"/>
      <c r="C17" s="326">
        <f>K6</f>
        <v>0</v>
      </c>
      <c r="D17" s="56"/>
      <c r="E17" s="56"/>
      <c r="F17" s="56"/>
      <c r="G17" s="56"/>
      <c r="H17" s="312">
        <f t="shared" ref="H17:H21" si="1">SUM(C17:G17)</f>
        <v>0</v>
      </c>
      <c r="I17" s="2"/>
      <c r="J17" s="30" t="s">
        <v>143</v>
      </c>
      <c r="K17" s="111"/>
    </row>
    <row r="18" spans="1:11" x14ac:dyDescent="0.25">
      <c r="A18" s="534" t="s">
        <v>93</v>
      </c>
      <c r="B18" s="477"/>
      <c r="C18" s="326">
        <f>K6</f>
        <v>0</v>
      </c>
      <c r="D18" s="56"/>
      <c r="E18" s="56"/>
      <c r="F18" s="56"/>
      <c r="G18" s="56"/>
      <c r="H18" s="312">
        <f t="shared" si="1"/>
        <v>0</v>
      </c>
      <c r="I18" s="2"/>
      <c r="J18" s="116" t="s">
        <v>144</v>
      </c>
      <c r="K18" s="111"/>
    </row>
    <row r="19" spans="1:11" x14ac:dyDescent="0.25">
      <c r="A19" s="534" t="s">
        <v>94</v>
      </c>
      <c r="B19" s="477"/>
      <c r="C19" s="326">
        <f>K6</f>
        <v>0</v>
      </c>
      <c r="D19" s="56"/>
      <c r="E19" s="56"/>
      <c r="F19" s="56"/>
      <c r="G19" s="56"/>
      <c r="H19" s="312">
        <f t="shared" si="1"/>
        <v>0</v>
      </c>
      <c r="I19" s="2"/>
      <c r="J19" s="116" t="s">
        <v>145</v>
      </c>
      <c r="K19" s="111"/>
    </row>
    <row r="20" spans="1:11" x14ac:dyDescent="0.25">
      <c r="A20" s="534" t="s">
        <v>146</v>
      </c>
      <c r="B20" s="477"/>
      <c r="C20" s="9"/>
      <c r="D20" s="56"/>
      <c r="E20" s="56"/>
      <c r="F20" s="56"/>
      <c r="G20" s="56"/>
      <c r="H20" s="312">
        <f t="shared" si="1"/>
        <v>0</v>
      </c>
      <c r="I20" s="2"/>
      <c r="J20" s="116" t="s">
        <v>147</v>
      </c>
      <c r="K20" s="111"/>
    </row>
    <row r="21" spans="1:11" x14ac:dyDescent="0.25">
      <c r="A21" s="534" t="s">
        <v>96</v>
      </c>
      <c r="B21" s="477"/>
      <c r="C21" s="9"/>
      <c r="D21" s="56"/>
      <c r="E21" s="56"/>
      <c r="F21" s="56"/>
      <c r="G21" s="56"/>
      <c r="H21" s="312">
        <f t="shared" si="1"/>
        <v>0</v>
      </c>
      <c r="I21" s="2"/>
      <c r="J21" s="116" t="s">
        <v>148</v>
      </c>
      <c r="K21" s="111"/>
    </row>
    <row r="22" spans="1:11" x14ac:dyDescent="0.25">
      <c r="A22" s="534" t="s">
        <v>97</v>
      </c>
      <c r="B22" s="477"/>
      <c r="C22" s="326">
        <f>K5</f>
        <v>0</v>
      </c>
      <c r="D22" s="56"/>
      <c r="E22" s="56"/>
      <c r="F22" s="56"/>
      <c r="G22" s="56"/>
      <c r="H22" s="312">
        <f>SUM(C22:G22)</f>
        <v>0</v>
      </c>
      <c r="I22" s="2"/>
      <c r="J22" s="30" t="s">
        <v>149</v>
      </c>
      <c r="K22" s="111"/>
    </row>
    <row r="23" spans="1:11" ht="15.75" thickBot="1" x14ac:dyDescent="0.3">
      <c r="A23" s="620" t="s">
        <v>90</v>
      </c>
      <c r="B23" s="501"/>
      <c r="C23" s="16"/>
      <c r="D23" s="57"/>
      <c r="E23" s="57"/>
      <c r="F23" s="57"/>
      <c r="G23" s="57"/>
      <c r="H23" s="329">
        <f>SUM(C23:G23)</f>
        <v>0</v>
      </c>
      <c r="I23" s="4"/>
      <c r="J23" s="116" t="s">
        <v>150</v>
      </c>
      <c r="K23" s="111"/>
    </row>
    <row r="24" spans="1:11" s="3" customFormat="1" x14ac:dyDescent="0.25">
      <c r="A24" s="6"/>
      <c r="B24" s="6"/>
      <c r="C24" s="10"/>
      <c r="D24" s="10"/>
      <c r="E24" s="10"/>
      <c r="F24" s="10"/>
      <c r="G24" s="10"/>
      <c r="H24" s="10"/>
      <c r="I24" s="10"/>
      <c r="J24" s="116" t="s">
        <v>151</v>
      </c>
      <c r="K24" s="111"/>
    </row>
    <row r="25" spans="1:11" s="8" customFormat="1" ht="15" customHeight="1" thickBot="1" x14ac:dyDescent="0.3">
      <c r="A25" s="2"/>
      <c r="B25" s="2"/>
      <c r="C25" s="2"/>
      <c r="D25" s="2"/>
      <c r="E25" s="2"/>
      <c r="F25" s="2"/>
      <c r="G25" s="2"/>
      <c r="H25" s="2"/>
      <c r="I25" s="2"/>
      <c r="J25" s="116" t="s">
        <v>153</v>
      </c>
      <c r="K25" s="115"/>
    </row>
    <row r="26" spans="1:11" ht="26.25" thickBot="1" x14ac:dyDescent="0.3">
      <c r="A26" s="621" t="s">
        <v>156</v>
      </c>
      <c r="B26" s="622"/>
      <c r="C26" s="126" t="s">
        <v>138</v>
      </c>
      <c r="D26" s="126" t="s">
        <v>139</v>
      </c>
      <c r="E26" s="126" t="s">
        <v>126</v>
      </c>
      <c r="F26" s="126" t="s">
        <v>128</v>
      </c>
      <c r="G26" s="126" t="s">
        <v>129</v>
      </c>
      <c r="H26" s="46" t="s">
        <v>130</v>
      </c>
      <c r="I26" s="2"/>
      <c r="J26" s="116" t="s">
        <v>154</v>
      </c>
      <c r="K26" s="111"/>
    </row>
    <row r="27" spans="1:11" x14ac:dyDescent="0.25">
      <c r="A27" s="623" t="s">
        <v>74</v>
      </c>
      <c r="B27" s="624"/>
      <c r="C27" s="331">
        <f>I7</f>
        <v>0</v>
      </c>
      <c r="D27" s="59"/>
      <c r="E27" s="59"/>
      <c r="F27" s="59"/>
      <c r="G27" s="59"/>
      <c r="H27" s="333">
        <f>SUM(C27:G27)</f>
        <v>0</v>
      </c>
      <c r="I27" s="2"/>
      <c r="J27" s="30" t="s">
        <v>155</v>
      </c>
      <c r="K27" s="111"/>
    </row>
    <row r="28" spans="1:11" x14ac:dyDescent="0.25">
      <c r="A28" s="633" t="s">
        <v>78</v>
      </c>
      <c r="B28" s="634"/>
      <c r="C28" s="332">
        <f>I3</f>
        <v>0</v>
      </c>
      <c r="D28" s="60"/>
      <c r="E28" s="60"/>
      <c r="F28" s="60"/>
      <c r="G28" s="60"/>
      <c r="H28" s="334">
        <f>SUM(C28:G28)</f>
        <v>0</v>
      </c>
      <c r="I28" s="2"/>
      <c r="J28" s="116" t="s">
        <v>157</v>
      </c>
      <c r="K28" s="111"/>
    </row>
    <row r="29" spans="1:11" x14ac:dyDescent="0.25">
      <c r="A29" s="633" t="s">
        <v>82</v>
      </c>
      <c r="B29" s="634"/>
      <c r="C29" s="332">
        <f>K3</f>
        <v>0</v>
      </c>
      <c r="D29" s="60"/>
      <c r="E29" s="60"/>
      <c r="F29" s="60"/>
      <c r="G29" s="60"/>
      <c r="H29" s="334">
        <f t="shared" ref="H29:H38" si="2">SUM(C29:G29)</f>
        <v>0</v>
      </c>
      <c r="I29" s="1"/>
      <c r="J29" s="116" t="s">
        <v>158</v>
      </c>
      <c r="K29" s="111"/>
    </row>
    <row r="30" spans="1:11" x14ac:dyDescent="0.25">
      <c r="A30" s="633" t="s">
        <v>79</v>
      </c>
      <c r="B30" s="634"/>
      <c r="C30" s="332">
        <f>K7</f>
        <v>0</v>
      </c>
      <c r="D30" s="60"/>
      <c r="E30" s="60"/>
      <c r="F30" s="60"/>
      <c r="G30" s="60"/>
      <c r="H30" s="334">
        <f t="shared" si="2"/>
        <v>0</v>
      </c>
      <c r="I30" s="1"/>
      <c r="J30" s="116" t="s">
        <v>159</v>
      </c>
      <c r="K30" s="111"/>
    </row>
    <row r="31" spans="1:11" x14ac:dyDescent="0.25">
      <c r="A31" s="635" t="s">
        <v>83</v>
      </c>
      <c r="B31" s="636"/>
      <c r="C31" s="332">
        <f>K7</f>
        <v>0</v>
      </c>
      <c r="D31" s="60"/>
      <c r="E31" s="60"/>
      <c r="F31" s="60"/>
      <c r="G31" s="60"/>
      <c r="H31" s="334">
        <f t="shared" si="2"/>
        <v>0</v>
      </c>
      <c r="I31" s="1"/>
      <c r="J31" s="116" t="s">
        <v>160</v>
      </c>
      <c r="K31" s="111"/>
    </row>
    <row r="32" spans="1:11" ht="15.75" thickBot="1" x14ac:dyDescent="0.3">
      <c r="A32" s="633" t="s">
        <v>162</v>
      </c>
      <c r="B32" s="634"/>
      <c r="C32" s="332">
        <f>K7</f>
        <v>0</v>
      </c>
      <c r="D32" s="60"/>
      <c r="E32" s="60"/>
      <c r="F32" s="60"/>
      <c r="G32" s="60"/>
      <c r="H32" s="334">
        <f t="shared" si="2"/>
        <v>0</v>
      </c>
      <c r="I32" s="1"/>
      <c r="J32" s="125" t="s">
        <v>161</v>
      </c>
      <c r="K32" s="318">
        <f>SUM(K15:K31)</f>
        <v>0</v>
      </c>
    </row>
    <row r="33" spans="1:16" s="1" customFormat="1" x14ac:dyDescent="0.25">
      <c r="A33" s="633" t="s">
        <v>163</v>
      </c>
      <c r="B33" s="634"/>
      <c r="C33" s="332">
        <f>K7</f>
        <v>0</v>
      </c>
      <c r="D33" s="60"/>
      <c r="E33" s="60"/>
      <c r="F33" s="60"/>
      <c r="G33" s="60"/>
      <c r="H33" s="334">
        <f t="shared" si="2"/>
        <v>0</v>
      </c>
    </row>
    <row r="34" spans="1:16" x14ac:dyDescent="0.25">
      <c r="A34" s="633" t="s">
        <v>164</v>
      </c>
      <c r="B34" s="634"/>
      <c r="C34" s="7"/>
      <c r="D34" s="60"/>
      <c r="E34" s="60"/>
      <c r="F34" s="60"/>
      <c r="G34" s="60"/>
      <c r="H34" s="334">
        <f t="shared" si="2"/>
        <v>0</v>
      </c>
      <c r="I34" s="1"/>
      <c r="J34" s="1"/>
      <c r="K34" s="1"/>
    </row>
    <row r="35" spans="1:16" x14ac:dyDescent="0.25">
      <c r="A35" s="635" t="s">
        <v>165</v>
      </c>
      <c r="B35" s="636"/>
      <c r="C35" s="7"/>
      <c r="D35" s="60"/>
      <c r="E35" s="60"/>
      <c r="F35" s="60"/>
      <c r="G35" s="60"/>
      <c r="H35" s="334">
        <f t="shared" si="2"/>
        <v>0</v>
      </c>
      <c r="I35" s="1"/>
      <c r="J35" s="1"/>
      <c r="K35" s="1"/>
    </row>
    <row r="36" spans="1:16" x14ac:dyDescent="0.25">
      <c r="A36" s="633" t="s">
        <v>81</v>
      </c>
      <c r="B36" s="634"/>
      <c r="C36" s="332">
        <f>IF(total_iq&gt;48, 7, IF(total_iq&gt;30, ROUNDUP((total_iq-30)/3,0), 0))</f>
        <v>0</v>
      </c>
      <c r="D36" s="60"/>
      <c r="E36" s="60"/>
      <c r="F36" s="60"/>
      <c r="G36" s="60"/>
      <c r="H36" s="334">
        <f t="shared" si="2"/>
        <v>0</v>
      </c>
      <c r="I36" s="1"/>
      <c r="J36" s="1"/>
      <c r="K36" s="1"/>
      <c r="L36" s="1"/>
      <c r="M36" s="1"/>
      <c r="N36" s="1"/>
      <c r="O36" s="1"/>
      <c r="P36" s="1"/>
    </row>
    <row r="37" spans="1:16" s="1" customFormat="1" x14ac:dyDescent="0.25">
      <c r="A37" s="633" t="s">
        <v>77</v>
      </c>
      <c r="B37" s="634"/>
      <c r="C37" s="332">
        <f>IF(total_me&gt;30, ROUNDUP((total_me-30)/10,0), 0)</f>
        <v>0</v>
      </c>
      <c r="D37" s="60"/>
      <c r="E37" s="60"/>
      <c r="F37" s="60"/>
      <c r="G37" s="60"/>
      <c r="H37" s="334">
        <f t="shared" si="2"/>
        <v>0</v>
      </c>
    </row>
    <row r="38" spans="1:16" ht="15.75" thickBot="1" x14ac:dyDescent="0.3">
      <c r="A38" s="646" t="s">
        <v>85</v>
      </c>
      <c r="B38" s="647"/>
      <c r="C38" s="24"/>
      <c r="D38" s="61"/>
      <c r="E38" s="61"/>
      <c r="F38" s="61"/>
      <c r="G38" s="61"/>
      <c r="H38" s="335">
        <f t="shared" si="2"/>
        <v>0</v>
      </c>
      <c r="I38" s="1"/>
      <c r="J38" s="1"/>
      <c r="K38" s="1"/>
      <c r="L38" s="1"/>
      <c r="M38" s="1"/>
      <c r="N38" s="1"/>
      <c r="O38" s="1"/>
      <c r="P38" s="1"/>
    </row>
    <row r="39" spans="1:16" x14ac:dyDescent="0.25">
      <c r="A39" s="637" t="s">
        <v>166</v>
      </c>
      <c r="B39" s="638"/>
      <c r="C39" s="638"/>
      <c r="D39" s="638"/>
      <c r="E39" s="638"/>
      <c r="F39" s="638"/>
      <c r="G39" s="638"/>
      <c r="H39" s="639"/>
      <c r="I39" s="1"/>
      <c r="J39" s="1"/>
      <c r="K39" s="1"/>
      <c r="L39" s="1"/>
      <c r="M39" s="1"/>
      <c r="N39" s="1"/>
      <c r="O39" s="1"/>
      <c r="P39" s="1"/>
    </row>
    <row r="40" spans="1:16" x14ac:dyDescent="0.25">
      <c r="A40" s="640"/>
      <c r="B40" s="641"/>
      <c r="C40" s="641"/>
      <c r="D40" s="641"/>
      <c r="E40" s="641"/>
      <c r="F40" s="641"/>
      <c r="G40" s="641"/>
      <c r="H40" s="642"/>
      <c r="I40" s="1"/>
      <c r="J40" s="1"/>
      <c r="K40" s="1"/>
      <c r="L40" s="1"/>
      <c r="M40" s="1"/>
      <c r="N40" s="1"/>
      <c r="O40" s="1"/>
      <c r="P40" s="1"/>
    </row>
    <row r="41" spans="1:16" ht="15" customHeight="1" x14ac:dyDescent="0.25">
      <c r="A41" s="640"/>
      <c r="B41" s="641"/>
      <c r="C41" s="641"/>
      <c r="D41" s="641"/>
      <c r="E41" s="641"/>
      <c r="F41" s="641"/>
      <c r="G41" s="641"/>
      <c r="H41" s="642"/>
      <c r="I41" s="1"/>
      <c r="J41" s="1"/>
      <c r="K41" s="1"/>
      <c r="L41" s="1"/>
      <c r="M41" s="1"/>
      <c r="N41" s="1"/>
      <c r="O41" s="1"/>
      <c r="P41" s="1"/>
    </row>
    <row r="42" spans="1:16" x14ac:dyDescent="0.25">
      <c r="A42" s="640"/>
      <c r="B42" s="641"/>
      <c r="C42" s="641"/>
      <c r="D42" s="641"/>
      <c r="E42" s="641"/>
      <c r="F42" s="641"/>
      <c r="G42" s="641"/>
      <c r="H42" s="642"/>
      <c r="I42" s="1"/>
      <c r="J42" s="1"/>
      <c r="K42" s="1"/>
      <c r="L42" s="1"/>
      <c r="M42" s="1"/>
      <c r="N42" s="1"/>
      <c r="O42" s="1"/>
      <c r="P42" s="1"/>
    </row>
    <row r="43" spans="1:16" ht="15.75" thickBot="1" x14ac:dyDescent="0.3">
      <c r="A43" s="643"/>
      <c r="B43" s="644"/>
      <c r="C43" s="644"/>
      <c r="D43" s="644"/>
      <c r="E43" s="644"/>
      <c r="F43" s="644"/>
      <c r="G43" s="644"/>
      <c r="H43" s="645"/>
      <c r="I43" s="1"/>
      <c r="J43" s="1"/>
      <c r="K43" s="1"/>
      <c r="L43" s="1"/>
      <c r="M43" s="1"/>
      <c r="N43" s="1"/>
      <c r="O43" s="1"/>
      <c r="P43" s="1"/>
    </row>
    <row r="44" spans="1:16" ht="15.75" thickBot="1" x14ac:dyDescent="0.3">
      <c r="A44" s="1"/>
      <c r="B44" s="1"/>
      <c r="C44" s="1"/>
      <c r="D44" s="1"/>
      <c r="E44" s="1"/>
      <c r="F44" s="1"/>
      <c r="G44" s="1"/>
      <c r="H44" s="1"/>
      <c r="I44" s="1"/>
      <c r="J44" s="1"/>
      <c r="K44" s="1"/>
      <c r="L44" s="1"/>
      <c r="M44" s="1"/>
      <c r="N44" s="1"/>
      <c r="O44" s="1"/>
      <c r="P44" s="1"/>
    </row>
    <row r="45" spans="1:16" ht="26.25" thickBot="1" x14ac:dyDescent="0.3">
      <c r="A45" s="617"/>
      <c r="B45" s="618"/>
      <c r="C45" s="22" t="s">
        <v>126</v>
      </c>
      <c r="D45" s="22" t="s">
        <v>138</v>
      </c>
      <c r="E45" s="22" t="s">
        <v>139</v>
      </c>
      <c r="F45" s="22" t="s">
        <v>152</v>
      </c>
      <c r="G45" s="22" t="s">
        <v>129</v>
      </c>
      <c r="H45" s="23" t="s">
        <v>141</v>
      </c>
      <c r="I45" s="1"/>
      <c r="J45" s="1"/>
      <c r="K45" s="1"/>
      <c r="L45" s="1"/>
      <c r="M45" s="1"/>
      <c r="N45" s="1"/>
      <c r="O45" s="1"/>
      <c r="P45" s="1"/>
    </row>
    <row r="46" spans="1:16" ht="15.75" thickBot="1" x14ac:dyDescent="0.3">
      <c r="A46" s="615" t="s">
        <v>35</v>
      </c>
      <c r="B46" s="616"/>
      <c r="C46" s="58"/>
      <c r="D46" s="58"/>
      <c r="E46" s="58"/>
      <c r="F46" s="58"/>
      <c r="G46" s="58"/>
      <c r="H46" s="336">
        <f>SUM(C46:G46)</f>
        <v>0</v>
      </c>
      <c r="I46" s="1"/>
      <c r="J46" s="1"/>
      <c r="K46" s="1"/>
      <c r="L46" s="1"/>
      <c r="M46" s="1"/>
      <c r="N46" s="1"/>
      <c r="O46" s="10"/>
      <c r="P46" s="8"/>
    </row>
    <row r="47" spans="1:16" s="8" customFormat="1" ht="15.75" thickBot="1" x14ac:dyDescent="0.3">
      <c r="A47" s="276"/>
      <c r="B47" s="276"/>
      <c r="C47" s="277"/>
      <c r="D47" s="277"/>
      <c r="E47" s="277"/>
      <c r="F47" s="277"/>
      <c r="G47" s="277"/>
      <c r="H47" s="277"/>
      <c r="O47" s="10"/>
    </row>
    <row r="48" spans="1:16" ht="26.25" thickBot="1" x14ac:dyDescent="0.3">
      <c r="A48" s="617"/>
      <c r="B48" s="618"/>
      <c r="C48" s="22" t="s">
        <v>126</v>
      </c>
      <c r="D48" s="22" t="s">
        <v>138</v>
      </c>
      <c r="E48" s="22" t="s">
        <v>139</v>
      </c>
      <c r="F48" s="22" t="s">
        <v>152</v>
      </c>
      <c r="G48" s="22" t="s">
        <v>129</v>
      </c>
      <c r="H48" s="23" t="s">
        <v>141</v>
      </c>
      <c r="I48" s="1"/>
      <c r="J48" s="603" t="s">
        <v>167</v>
      </c>
      <c r="K48" s="604"/>
      <c r="L48" s="1"/>
      <c r="M48" s="1"/>
      <c r="N48" s="1"/>
      <c r="O48" s="10"/>
      <c r="P48" s="8"/>
    </row>
    <row r="49" spans="1:16" ht="15.75" thickBot="1" x14ac:dyDescent="0.3">
      <c r="A49" s="615" t="s">
        <v>168</v>
      </c>
      <c r="B49" s="616"/>
      <c r="C49" s="58"/>
      <c r="D49" s="58"/>
      <c r="E49" s="58"/>
      <c r="F49" s="58"/>
      <c r="G49" s="58"/>
      <c r="H49" s="336">
        <f>SUM(C49:G49)</f>
        <v>0</v>
      </c>
      <c r="I49" s="1"/>
      <c r="J49" s="605" t="s">
        <v>169</v>
      </c>
      <c r="K49" s="606"/>
      <c r="L49" s="1"/>
      <c r="M49" s="1"/>
      <c r="N49" s="1"/>
      <c r="O49" s="10"/>
      <c r="P49" s="8"/>
    </row>
    <row r="50" spans="1:16" x14ac:dyDescent="0.25">
      <c r="A50" s="1"/>
      <c r="B50" s="1"/>
      <c r="C50" s="1"/>
      <c r="D50" s="1"/>
      <c r="E50" s="1"/>
      <c r="F50" s="1"/>
      <c r="G50" s="1"/>
      <c r="H50" s="1"/>
      <c r="I50" s="1"/>
      <c r="J50" s="47" t="s">
        <v>170</v>
      </c>
      <c r="K50" s="312">
        <f>IF(total_ps&gt;30, (ROUNDDOWN((total_ps-30)/5, 0)*30), 0)</f>
        <v>0</v>
      </c>
      <c r="L50" s="1"/>
      <c r="M50" s="1"/>
      <c r="N50" s="1"/>
      <c r="O50" s="1"/>
      <c r="P50" s="1"/>
    </row>
    <row r="51" spans="1:16" x14ac:dyDescent="0.25">
      <c r="A51" s="1"/>
      <c r="B51" s="1"/>
      <c r="C51" s="1"/>
      <c r="D51" s="1"/>
      <c r="E51" s="1"/>
      <c r="F51" s="1"/>
      <c r="G51" s="1"/>
      <c r="H51" s="1"/>
      <c r="I51" s="1"/>
      <c r="J51" s="607" t="s">
        <v>50</v>
      </c>
      <c r="K51" s="608"/>
      <c r="L51" s="1"/>
      <c r="M51" s="1"/>
      <c r="N51" s="1"/>
      <c r="O51" s="1"/>
      <c r="P51" s="1"/>
    </row>
    <row r="52" spans="1:16" x14ac:dyDescent="0.25">
      <c r="A52" s="1"/>
      <c r="B52" s="1"/>
      <c r="C52" s="1"/>
      <c r="D52" s="1"/>
      <c r="E52" s="1"/>
      <c r="F52" s="1"/>
      <c r="G52" s="1"/>
      <c r="H52" s="1"/>
      <c r="I52" s="1"/>
      <c r="J52" s="117" t="s">
        <v>169</v>
      </c>
      <c r="K52" s="312">
        <f>IF(total_ps&gt;30, ((total_ps+total_ps*excel_carry%)*20), IF(total_ps&gt;16,total_ps*20, total_ps*10))</f>
        <v>0</v>
      </c>
      <c r="L52" s="1"/>
      <c r="M52" s="1"/>
      <c r="N52" s="1"/>
      <c r="O52" s="1"/>
      <c r="P52" s="1"/>
    </row>
    <row r="53" spans="1:16" x14ac:dyDescent="0.25">
      <c r="J53" s="13" t="s">
        <v>171</v>
      </c>
      <c r="K53" s="312">
        <f>IF(total_ps&gt;30, ((total_ps+total_ps*excel_carry%)*20), IF(total_ps&gt;16,total_ps*20, total_ps*10))</f>
        <v>0</v>
      </c>
    </row>
    <row r="54" spans="1:16" x14ac:dyDescent="0.25">
      <c r="J54" s="13" t="s">
        <v>172</v>
      </c>
      <c r="K54" s="312">
        <f>IF(total_ps&gt;30, ((total_ps+total_ps*excel_carry%)*50), IF(total_ps&gt;17,total_ps*50, total_ps*20))</f>
        <v>0</v>
      </c>
    </row>
    <row r="55" spans="1:16" s="1" customFormat="1" x14ac:dyDescent="0.25">
      <c r="J55" s="609" t="s">
        <v>173</v>
      </c>
      <c r="K55" s="610"/>
    </row>
    <row r="56" spans="1:16" x14ac:dyDescent="0.25">
      <c r="J56" s="13" t="s">
        <v>169</v>
      </c>
      <c r="K56" s="312">
        <f>IF(total_ps&gt;19, (total_ps+200+excel_carry), total_ps+50)</f>
        <v>50</v>
      </c>
    </row>
    <row r="57" spans="1:16" x14ac:dyDescent="0.25">
      <c r="J57" s="13" t="s">
        <v>171</v>
      </c>
      <c r="K57" s="312">
        <f>total_ps+200+excel_carry</f>
        <v>200</v>
      </c>
    </row>
    <row r="58" spans="1:16" x14ac:dyDescent="0.25">
      <c r="J58" s="13" t="s">
        <v>172</v>
      </c>
      <c r="K58" s="312">
        <f>IF(total_ps&gt;17, (total_ps+300+excel_carry), total_ps+200)</f>
        <v>200</v>
      </c>
    </row>
    <row r="59" spans="1:16" s="1" customFormat="1" x14ac:dyDescent="0.25">
      <c r="J59" s="601" t="s">
        <v>174</v>
      </c>
      <c r="K59" s="602"/>
    </row>
    <row r="60" spans="1:16" x14ac:dyDescent="0.25">
      <c r="J60" s="13" t="s">
        <v>169</v>
      </c>
      <c r="K60" s="312">
        <f>norm_throw/2</f>
        <v>25</v>
      </c>
    </row>
    <row r="61" spans="1:16" x14ac:dyDescent="0.25">
      <c r="J61" s="13" t="s">
        <v>171</v>
      </c>
      <c r="K61" s="312">
        <f>giant_throw/2</f>
        <v>100</v>
      </c>
    </row>
    <row r="62" spans="1:16" x14ac:dyDescent="0.25">
      <c r="J62" s="13" t="s">
        <v>172</v>
      </c>
      <c r="K62" s="312">
        <f>IF(total_ps&gt;17, (total_ps+200+excel_carry), super_throw/2)</f>
        <v>100</v>
      </c>
    </row>
    <row r="63" spans="1:16" s="1" customFormat="1" x14ac:dyDescent="0.25">
      <c r="J63" s="601" t="s">
        <v>175</v>
      </c>
      <c r="K63" s="602"/>
    </row>
    <row r="64" spans="1:16" x14ac:dyDescent="0.25">
      <c r="J64" s="13" t="s">
        <v>169</v>
      </c>
      <c r="K64" s="312">
        <f>total_ps/3</f>
        <v>0</v>
      </c>
    </row>
    <row r="65" spans="10:11" x14ac:dyDescent="0.25">
      <c r="J65" s="13" t="s">
        <v>171</v>
      </c>
      <c r="K65" s="312">
        <f>total_ps/3</f>
        <v>0</v>
      </c>
    </row>
    <row r="66" spans="10:11" ht="15.75" thickBot="1" x14ac:dyDescent="0.3">
      <c r="J66" s="14" t="s">
        <v>172</v>
      </c>
      <c r="K66" s="329">
        <f>total_ps</f>
        <v>0</v>
      </c>
    </row>
    <row r="67" spans="10:11" ht="15.75" thickBot="1" x14ac:dyDescent="0.3">
      <c r="J67" s="1"/>
      <c r="K67" s="1"/>
    </row>
    <row r="68" spans="10:11" ht="15.75" thickBot="1" x14ac:dyDescent="0.3">
      <c r="J68" s="611" t="s">
        <v>176</v>
      </c>
      <c r="K68" s="612"/>
    </row>
    <row r="69" spans="10:11" x14ac:dyDescent="0.25">
      <c r="J69" s="20" t="s">
        <v>177</v>
      </c>
      <c r="K69" s="21" t="s">
        <v>178</v>
      </c>
    </row>
    <row r="70" spans="10:11" x14ac:dyDescent="0.25">
      <c r="J70" s="12" t="s">
        <v>179</v>
      </c>
      <c r="K70" s="11" t="s">
        <v>72</v>
      </c>
    </row>
    <row r="71" spans="10:11" ht="15.75" thickBot="1" x14ac:dyDescent="0.3">
      <c r="J71" s="18" t="s">
        <v>180</v>
      </c>
      <c r="K71" s="19" t="s">
        <v>52</v>
      </c>
    </row>
  </sheetData>
  <sheetProtection algorithmName="SHA-512" hashValue="453+lBNh3RahYJHzzASbAzROYcafZuN6oLKAqP1LaMTwG9RmBLnfSu6aCTSAl1zqVxwJlvPPBBD8MPMgR0cc3Q==" saltValue="eCpkCSImIxTB6DyLx2zsCA==" spinCount="100000" sheet="1" selectLockedCells="1"/>
  <mergeCells count="51">
    <mergeCell ref="C11:E11"/>
    <mergeCell ref="A11:B11"/>
    <mergeCell ref="I11:J11"/>
    <mergeCell ref="F11:G11"/>
    <mergeCell ref="A12:B12"/>
    <mergeCell ref="F12:G12"/>
    <mergeCell ref="I12:J12"/>
    <mergeCell ref="C12:E12"/>
    <mergeCell ref="A48:B48"/>
    <mergeCell ref="A49:B49"/>
    <mergeCell ref="A39:H43"/>
    <mergeCell ref="A37:B37"/>
    <mergeCell ref="A32:B32"/>
    <mergeCell ref="A33:B33"/>
    <mergeCell ref="A34:B34"/>
    <mergeCell ref="A36:B36"/>
    <mergeCell ref="A38:B38"/>
    <mergeCell ref="A30:B30"/>
    <mergeCell ref="A28:B28"/>
    <mergeCell ref="A29:B29"/>
    <mergeCell ref="A35:B35"/>
    <mergeCell ref="A31:B31"/>
    <mergeCell ref="H6:J6"/>
    <mergeCell ref="H8:J8"/>
    <mergeCell ref="H9:K9"/>
    <mergeCell ref="H1:K1"/>
    <mergeCell ref="H2:J2"/>
    <mergeCell ref="H4:J4"/>
    <mergeCell ref="H5:J5"/>
    <mergeCell ref="J68:K68"/>
    <mergeCell ref="J14:K14"/>
    <mergeCell ref="A46:B46"/>
    <mergeCell ref="A45:B45"/>
    <mergeCell ref="A20:B20"/>
    <mergeCell ref="A21:B21"/>
    <mergeCell ref="A14:B14"/>
    <mergeCell ref="A22:B22"/>
    <mergeCell ref="A23:B23"/>
    <mergeCell ref="A15:B15"/>
    <mergeCell ref="A16:B16"/>
    <mergeCell ref="A17:B17"/>
    <mergeCell ref="A18:B18"/>
    <mergeCell ref="A19:B19"/>
    <mergeCell ref="A26:B26"/>
    <mergeCell ref="A27:B27"/>
    <mergeCell ref="J59:K59"/>
    <mergeCell ref="J63:K63"/>
    <mergeCell ref="J48:K48"/>
    <mergeCell ref="J49:K49"/>
    <mergeCell ref="J51:K51"/>
    <mergeCell ref="J55:K55"/>
  </mergeCells>
  <dataValidations count="1">
    <dataValidation type="list" allowBlank="1" showInputMessage="1" showErrorMessage="1" sqref="J49:K51" xr:uid="{00000000-0002-0000-0200-000000000000}">
      <formula1>"Normal, Giant, Supernatural"</formula1>
    </dataValidation>
  </dataValidation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AC46"/>
  <sheetViews>
    <sheetView zoomScaleNormal="100" workbookViewId="0">
      <pane ySplit="1" topLeftCell="A2" activePane="bottomLeft" state="frozen"/>
      <selection pane="bottomLeft" activeCell="A2" sqref="A2:C2"/>
    </sheetView>
  </sheetViews>
  <sheetFormatPr defaultRowHeight="15" x14ac:dyDescent="0.25"/>
  <cols>
    <col min="1" max="3" width="8.140625" customWidth="1"/>
    <col min="4" max="4" width="4.28515625" customWidth="1"/>
    <col min="5" max="5" width="6" style="1" customWidth="1"/>
    <col min="6" max="6" width="6.140625" style="1" customWidth="1"/>
    <col min="7" max="7" width="5.42578125" customWidth="1"/>
    <col min="8" max="8" width="8.5703125" style="1" customWidth="1"/>
    <col min="9" max="10" width="6.140625" customWidth="1"/>
    <col min="11" max="11" width="5.28515625" customWidth="1"/>
    <col min="12" max="12" width="5.7109375" customWidth="1"/>
    <col min="13" max="14" width="6.140625" style="1" customWidth="1"/>
    <col min="15" max="29" width="6" customWidth="1"/>
  </cols>
  <sheetData>
    <row r="1" spans="1:29" s="1" customFormat="1" ht="28.5" customHeight="1" thickBot="1" x14ac:dyDescent="0.3">
      <c r="A1" s="653" t="s">
        <v>71</v>
      </c>
      <c r="B1" s="654"/>
      <c r="C1" s="655"/>
      <c r="D1" s="39" t="s">
        <v>181</v>
      </c>
      <c r="E1" s="40" t="s">
        <v>182</v>
      </c>
      <c r="F1" s="40" t="s">
        <v>183</v>
      </c>
      <c r="G1" s="40" t="s">
        <v>184</v>
      </c>
      <c r="H1" s="40" t="s">
        <v>185</v>
      </c>
      <c r="I1" s="40" t="s">
        <v>139</v>
      </c>
      <c r="J1" s="40" t="s">
        <v>186</v>
      </c>
      <c r="K1" s="41" t="s">
        <v>187</v>
      </c>
      <c r="L1" s="127" t="s">
        <v>161</v>
      </c>
      <c r="M1" s="42" t="s">
        <v>188</v>
      </c>
      <c r="N1" s="43" t="s">
        <v>189</v>
      </c>
      <c r="O1" s="664" t="s">
        <v>190</v>
      </c>
      <c r="P1" s="393"/>
      <c r="Q1" s="393"/>
      <c r="R1" s="393"/>
      <c r="S1" s="393"/>
      <c r="T1" s="393"/>
      <c r="U1" s="393"/>
      <c r="V1" s="393"/>
      <c r="W1" s="393"/>
      <c r="X1" s="393"/>
      <c r="Y1" s="393"/>
      <c r="Z1" s="393"/>
      <c r="AA1" s="393"/>
      <c r="AB1" s="393"/>
      <c r="AC1" s="394"/>
    </row>
    <row r="2" spans="1:29" x14ac:dyDescent="0.25">
      <c r="A2" s="668"/>
      <c r="B2" s="669"/>
      <c r="C2" s="670"/>
      <c r="D2" s="98"/>
      <c r="E2" s="89"/>
      <c r="F2" s="90"/>
      <c r="G2" s="91"/>
      <c r="H2" s="91">
        <v>1</v>
      </c>
      <c r="I2" s="91"/>
      <c r="J2" s="362">
        <f>Worktable!K2</f>
        <v>0</v>
      </c>
      <c r="K2" s="92"/>
      <c r="L2" s="93">
        <f t="shared" ref="L2:L46" si="0">D2+SUM(I2:K2)+G2*(calc_lev-H2)</f>
        <v>0</v>
      </c>
      <c r="M2" s="94">
        <f t="shared" ref="M2:M46" si="1">IF(E2="", 0, E2+SUM(I2:K2)+G2*(calc_lev-H2))</f>
        <v>0</v>
      </c>
      <c r="N2" s="95">
        <f t="shared" ref="N2:N46" si="2">IF(F2="", 0, F2+SUM(I2:K2)+G2*(calc_lev-H2))</f>
        <v>0</v>
      </c>
      <c r="O2" s="84" t="s">
        <v>191</v>
      </c>
      <c r="P2" s="671"/>
      <c r="Q2" s="672"/>
      <c r="R2" s="75" t="s">
        <v>92</v>
      </c>
      <c r="S2" s="76"/>
      <c r="T2" s="77" t="s">
        <v>192</v>
      </c>
      <c r="U2" s="76"/>
      <c r="V2" s="77" t="s">
        <v>93</v>
      </c>
      <c r="W2" s="76"/>
      <c r="X2" s="673"/>
      <c r="Y2" s="673"/>
      <c r="Z2" s="101"/>
      <c r="AA2" s="673"/>
      <c r="AB2" s="673"/>
      <c r="AC2" s="104"/>
    </row>
    <row r="3" spans="1:29" x14ac:dyDescent="0.25">
      <c r="A3" s="665"/>
      <c r="B3" s="666"/>
      <c r="C3" s="667"/>
      <c r="D3" s="71"/>
      <c r="E3" s="62"/>
      <c r="F3" s="63"/>
      <c r="G3" s="60"/>
      <c r="H3" s="60">
        <v>1</v>
      </c>
      <c r="I3" s="60"/>
      <c r="J3" s="332">
        <f>Worktable!K2</f>
        <v>0</v>
      </c>
      <c r="K3" s="68"/>
      <c r="L3" s="73">
        <f t="shared" si="0"/>
        <v>0</v>
      </c>
      <c r="M3" s="44">
        <f t="shared" si="1"/>
        <v>0</v>
      </c>
      <c r="N3" s="45">
        <f t="shared" si="2"/>
        <v>0</v>
      </c>
      <c r="O3" s="85" t="s">
        <v>191</v>
      </c>
      <c r="P3" s="656"/>
      <c r="Q3" s="657"/>
      <c r="R3" s="78" t="s">
        <v>92</v>
      </c>
      <c r="S3" s="79"/>
      <c r="T3" s="80" t="s">
        <v>192</v>
      </c>
      <c r="U3" s="79"/>
      <c r="V3" s="80" t="s">
        <v>93</v>
      </c>
      <c r="W3" s="79"/>
      <c r="X3" s="658"/>
      <c r="Y3" s="658"/>
      <c r="Z3" s="102"/>
      <c r="AA3" s="658"/>
      <c r="AB3" s="658"/>
      <c r="AC3" s="105"/>
    </row>
    <row r="4" spans="1:29" x14ac:dyDescent="0.25">
      <c r="A4" s="665"/>
      <c r="B4" s="666"/>
      <c r="C4" s="667"/>
      <c r="D4" s="71"/>
      <c r="E4" s="62"/>
      <c r="F4" s="63"/>
      <c r="G4" s="60"/>
      <c r="H4" s="60">
        <v>1</v>
      </c>
      <c r="I4" s="60"/>
      <c r="J4" s="332">
        <f>Worktable!K2</f>
        <v>0</v>
      </c>
      <c r="K4" s="68"/>
      <c r="L4" s="73">
        <f t="shared" si="0"/>
        <v>0</v>
      </c>
      <c r="M4" s="44">
        <f t="shared" si="1"/>
        <v>0</v>
      </c>
      <c r="N4" s="45">
        <f t="shared" si="2"/>
        <v>0</v>
      </c>
      <c r="O4" s="85" t="s">
        <v>191</v>
      </c>
      <c r="P4" s="656"/>
      <c r="Q4" s="657"/>
      <c r="R4" s="78" t="s">
        <v>92</v>
      </c>
      <c r="S4" s="79"/>
      <c r="T4" s="80" t="s">
        <v>192</v>
      </c>
      <c r="U4" s="79"/>
      <c r="V4" s="80" t="s">
        <v>93</v>
      </c>
      <c r="W4" s="79"/>
      <c r="X4" s="658"/>
      <c r="Y4" s="658"/>
      <c r="Z4" s="102"/>
      <c r="AA4" s="658"/>
      <c r="AB4" s="658"/>
      <c r="AC4" s="105"/>
    </row>
    <row r="5" spans="1:29" x14ac:dyDescent="0.25">
      <c r="A5" s="665"/>
      <c r="B5" s="666"/>
      <c r="C5" s="667"/>
      <c r="D5" s="71"/>
      <c r="E5" s="62"/>
      <c r="F5" s="63"/>
      <c r="G5" s="60"/>
      <c r="H5" s="59">
        <v>1</v>
      </c>
      <c r="I5" s="60"/>
      <c r="J5" s="332">
        <f>Worktable!K2</f>
        <v>0</v>
      </c>
      <c r="K5" s="68"/>
      <c r="L5" s="73">
        <f t="shared" si="0"/>
        <v>0</v>
      </c>
      <c r="M5" s="44">
        <f t="shared" si="1"/>
        <v>0</v>
      </c>
      <c r="N5" s="45">
        <f t="shared" si="2"/>
        <v>0</v>
      </c>
      <c r="O5" s="85" t="s">
        <v>191</v>
      </c>
      <c r="P5" s="656"/>
      <c r="Q5" s="657"/>
      <c r="R5" s="78" t="s">
        <v>92</v>
      </c>
      <c r="S5" s="79"/>
      <c r="T5" s="80" t="s">
        <v>192</v>
      </c>
      <c r="U5" s="79"/>
      <c r="V5" s="80" t="s">
        <v>93</v>
      </c>
      <c r="W5" s="79"/>
      <c r="X5" s="658"/>
      <c r="Y5" s="658"/>
      <c r="Z5" s="102"/>
      <c r="AA5" s="658"/>
      <c r="AB5" s="658"/>
      <c r="AC5" s="105"/>
    </row>
    <row r="6" spans="1:29" x14ac:dyDescent="0.25">
      <c r="A6" s="665"/>
      <c r="B6" s="666"/>
      <c r="C6" s="667"/>
      <c r="D6" s="71"/>
      <c r="E6" s="62"/>
      <c r="F6" s="63"/>
      <c r="G6" s="60"/>
      <c r="H6" s="60">
        <v>1</v>
      </c>
      <c r="I6" s="60"/>
      <c r="J6" s="332">
        <f>Worktable!K2</f>
        <v>0</v>
      </c>
      <c r="K6" s="68"/>
      <c r="L6" s="73">
        <f t="shared" si="0"/>
        <v>0</v>
      </c>
      <c r="M6" s="44">
        <f t="shared" si="1"/>
        <v>0</v>
      </c>
      <c r="N6" s="45">
        <f t="shared" si="2"/>
        <v>0</v>
      </c>
      <c r="O6" s="85" t="s">
        <v>191</v>
      </c>
      <c r="P6" s="656"/>
      <c r="Q6" s="657"/>
      <c r="R6" s="78" t="s">
        <v>92</v>
      </c>
      <c r="S6" s="79"/>
      <c r="T6" s="80" t="s">
        <v>192</v>
      </c>
      <c r="U6" s="79"/>
      <c r="V6" s="80" t="s">
        <v>93</v>
      </c>
      <c r="W6" s="79"/>
      <c r="X6" s="658"/>
      <c r="Y6" s="658"/>
      <c r="Z6" s="102"/>
      <c r="AA6" s="658"/>
      <c r="AB6" s="658"/>
      <c r="AC6" s="105"/>
    </row>
    <row r="7" spans="1:29" x14ac:dyDescent="0.25">
      <c r="A7" s="665"/>
      <c r="B7" s="666"/>
      <c r="C7" s="667"/>
      <c r="D7" s="70"/>
      <c r="E7" s="62"/>
      <c r="F7" s="63"/>
      <c r="G7" s="60"/>
      <c r="H7" s="60">
        <v>1</v>
      </c>
      <c r="I7" s="60"/>
      <c r="J7" s="332">
        <f>Worktable!K2</f>
        <v>0</v>
      </c>
      <c r="K7" s="68"/>
      <c r="L7" s="73">
        <f t="shared" si="0"/>
        <v>0</v>
      </c>
      <c r="M7" s="44">
        <f t="shared" si="1"/>
        <v>0</v>
      </c>
      <c r="N7" s="45">
        <f t="shared" si="2"/>
        <v>0</v>
      </c>
      <c r="O7" s="85" t="s">
        <v>191</v>
      </c>
      <c r="P7" s="656"/>
      <c r="Q7" s="657"/>
      <c r="R7" s="78" t="s">
        <v>92</v>
      </c>
      <c r="S7" s="79"/>
      <c r="T7" s="80" t="s">
        <v>192</v>
      </c>
      <c r="U7" s="79"/>
      <c r="V7" s="80" t="s">
        <v>93</v>
      </c>
      <c r="W7" s="79"/>
      <c r="X7" s="658"/>
      <c r="Y7" s="658"/>
      <c r="Z7" s="102"/>
      <c r="AA7" s="658"/>
      <c r="AB7" s="658"/>
      <c r="AC7" s="105"/>
    </row>
    <row r="8" spans="1:29" x14ac:dyDescent="0.25">
      <c r="A8" s="665"/>
      <c r="B8" s="666"/>
      <c r="C8" s="667"/>
      <c r="D8" s="71"/>
      <c r="E8" s="62"/>
      <c r="F8" s="63"/>
      <c r="G8" s="60"/>
      <c r="H8" s="59">
        <v>1</v>
      </c>
      <c r="I8" s="60"/>
      <c r="J8" s="332">
        <f>Worktable!K2</f>
        <v>0</v>
      </c>
      <c r="K8" s="68"/>
      <c r="L8" s="73">
        <f t="shared" si="0"/>
        <v>0</v>
      </c>
      <c r="M8" s="44">
        <f t="shared" si="1"/>
        <v>0</v>
      </c>
      <c r="N8" s="45">
        <f t="shared" si="2"/>
        <v>0</v>
      </c>
      <c r="O8" s="85" t="s">
        <v>191</v>
      </c>
      <c r="P8" s="656"/>
      <c r="Q8" s="657"/>
      <c r="R8" s="78" t="s">
        <v>92</v>
      </c>
      <c r="S8" s="79"/>
      <c r="T8" s="80" t="s">
        <v>192</v>
      </c>
      <c r="U8" s="79"/>
      <c r="V8" s="80" t="s">
        <v>93</v>
      </c>
      <c r="W8" s="79"/>
      <c r="X8" s="658"/>
      <c r="Y8" s="658"/>
      <c r="Z8" s="102"/>
      <c r="AA8" s="658"/>
      <c r="AB8" s="658"/>
      <c r="AC8" s="105"/>
    </row>
    <row r="9" spans="1:29" x14ac:dyDescent="0.25">
      <c r="A9" s="665"/>
      <c r="B9" s="666"/>
      <c r="C9" s="667"/>
      <c r="D9" s="71"/>
      <c r="E9" s="62"/>
      <c r="F9" s="63"/>
      <c r="G9" s="60"/>
      <c r="H9" s="60">
        <v>1</v>
      </c>
      <c r="I9" s="60"/>
      <c r="J9" s="332">
        <f>Worktable!K2</f>
        <v>0</v>
      </c>
      <c r="K9" s="68"/>
      <c r="L9" s="73">
        <f t="shared" si="0"/>
        <v>0</v>
      </c>
      <c r="M9" s="44">
        <f t="shared" si="1"/>
        <v>0</v>
      </c>
      <c r="N9" s="45">
        <f t="shared" si="2"/>
        <v>0</v>
      </c>
      <c r="O9" s="85" t="s">
        <v>191</v>
      </c>
      <c r="P9" s="656"/>
      <c r="Q9" s="657"/>
      <c r="R9" s="78" t="s">
        <v>92</v>
      </c>
      <c r="S9" s="79"/>
      <c r="T9" s="80" t="s">
        <v>192</v>
      </c>
      <c r="U9" s="79"/>
      <c r="V9" s="80" t="s">
        <v>93</v>
      </c>
      <c r="W9" s="79"/>
      <c r="X9" s="658"/>
      <c r="Y9" s="658"/>
      <c r="Z9" s="102"/>
      <c r="AA9" s="658"/>
      <c r="AB9" s="658"/>
      <c r="AC9" s="105"/>
    </row>
    <row r="10" spans="1:29" x14ac:dyDescent="0.25">
      <c r="A10" s="665"/>
      <c r="B10" s="666"/>
      <c r="C10" s="667"/>
      <c r="D10" s="71"/>
      <c r="E10" s="62"/>
      <c r="F10" s="63"/>
      <c r="G10" s="60"/>
      <c r="H10" s="60">
        <v>1</v>
      </c>
      <c r="I10" s="60"/>
      <c r="J10" s="332">
        <f>Worktable!K2</f>
        <v>0</v>
      </c>
      <c r="K10" s="68"/>
      <c r="L10" s="73">
        <f t="shared" si="0"/>
        <v>0</v>
      </c>
      <c r="M10" s="44">
        <f t="shared" si="1"/>
        <v>0</v>
      </c>
      <c r="N10" s="45">
        <f t="shared" si="2"/>
        <v>0</v>
      </c>
      <c r="O10" s="85" t="s">
        <v>191</v>
      </c>
      <c r="P10" s="656"/>
      <c r="Q10" s="657"/>
      <c r="R10" s="78" t="s">
        <v>92</v>
      </c>
      <c r="S10" s="79"/>
      <c r="T10" s="80" t="s">
        <v>192</v>
      </c>
      <c r="U10" s="79"/>
      <c r="V10" s="80" t="s">
        <v>93</v>
      </c>
      <c r="W10" s="79"/>
      <c r="X10" s="658"/>
      <c r="Y10" s="658"/>
      <c r="Z10" s="102"/>
      <c r="AA10" s="658"/>
      <c r="AB10" s="658"/>
      <c r="AC10" s="105"/>
    </row>
    <row r="11" spans="1:29" x14ac:dyDescent="0.25">
      <c r="A11" s="665"/>
      <c r="B11" s="666"/>
      <c r="C11" s="667"/>
      <c r="D11" s="71"/>
      <c r="E11" s="62"/>
      <c r="F11" s="63"/>
      <c r="G11" s="60"/>
      <c r="H11" s="59">
        <v>1</v>
      </c>
      <c r="I11" s="60"/>
      <c r="J11" s="332">
        <f>Worktable!K2</f>
        <v>0</v>
      </c>
      <c r="K11" s="68"/>
      <c r="L11" s="73">
        <f t="shared" si="0"/>
        <v>0</v>
      </c>
      <c r="M11" s="44">
        <f t="shared" si="1"/>
        <v>0</v>
      </c>
      <c r="N11" s="45">
        <f t="shared" si="2"/>
        <v>0</v>
      </c>
      <c r="O11" s="85" t="s">
        <v>191</v>
      </c>
      <c r="P11" s="656"/>
      <c r="Q11" s="657"/>
      <c r="R11" s="78" t="s">
        <v>92</v>
      </c>
      <c r="S11" s="79"/>
      <c r="T11" s="80" t="s">
        <v>192</v>
      </c>
      <c r="U11" s="79"/>
      <c r="V11" s="80" t="s">
        <v>93</v>
      </c>
      <c r="W11" s="79"/>
      <c r="X11" s="658"/>
      <c r="Y11" s="658"/>
      <c r="Z11" s="102"/>
      <c r="AA11" s="658"/>
      <c r="AB11" s="658"/>
      <c r="AC11" s="105"/>
    </row>
    <row r="12" spans="1:29" x14ac:dyDescent="0.25">
      <c r="A12" s="665"/>
      <c r="B12" s="666"/>
      <c r="C12" s="667"/>
      <c r="D12" s="70"/>
      <c r="E12" s="62"/>
      <c r="F12" s="63"/>
      <c r="G12" s="60"/>
      <c r="H12" s="60">
        <v>1</v>
      </c>
      <c r="I12" s="60"/>
      <c r="J12" s="332">
        <f>Worktable!K2</f>
        <v>0</v>
      </c>
      <c r="K12" s="68"/>
      <c r="L12" s="73">
        <f t="shared" si="0"/>
        <v>0</v>
      </c>
      <c r="M12" s="44">
        <f t="shared" si="1"/>
        <v>0</v>
      </c>
      <c r="N12" s="45">
        <f t="shared" si="2"/>
        <v>0</v>
      </c>
      <c r="O12" s="85" t="s">
        <v>191</v>
      </c>
      <c r="P12" s="656"/>
      <c r="Q12" s="657"/>
      <c r="R12" s="78" t="s">
        <v>92</v>
      </c>
      <c r="S12" s="79"/>
      <c r="T12" s="80" t="s">
        <v>192</v>
      </c>
      <c r="U12" s="79"/>
      <c r="V12" s="80" t="s">
        <v>93</v>
      </c>
      <c r="W12" s="79"/>
      <c r="X12" s="658"/>
      <c r="Y12" s="658"/>
      <c r="Z12" s="102"/>
      <c r="AA12" s="658"/>
      <c r="AB12" s="658"/>
      <c r="AC12" s="105"/>
    </row>
    <row r="13" spans="1:29" x14ac:dyDescent="0.25">
      <c r="A13" s="665"/>
      <c r="B13" s="666"/>
      <c r="C13" s="667"/>
      <c r="D13" s="71"/>
      <c r="E13" s="62"/>
      <c r="F13" s="63"/>
      <c r="G13" s="60"/>
      <c r="H13" s="60">
        <v>1</v>
      </c>
      <c r="I13" s="60"/>
      <c r="J13" s="332">
        <f>Worktable!K2</f>
        <v>0</v>
      </c>
      <c r="K13" s="68"/>
      <c r="L13" s="73">
        <f t="shared" si="0"/>
        <v>0</v>
      </c>
      <c r="M13" s="44">
        <f t="shared" si="1"/>
        <v>0</v>
      </c>
      <c r="N13" s="45">
        <f t="shared" si="2"/>
        <v>0</v>
      </c>
      <c r="O13" s="85" t="s">
        <v>191</v>
      </c>
      <c r="P13" s="656"/>
      <c r="Q13" s="657"/>
      <c r="R13" s="78" t="s">
        <v>92</v>
      </c>
      <c r="S13" s="79"/>
      <c r="T13" s="80" t="s">
        <v>192</v>
      </c>
      <c r="U13" s="79"/>
      <c r="V13" s="80" t="s">
        <v>93</v>
      </c>
      <c r="W13" s="79"/>
      <c r="X13" s="658"/>
      <c r="Y13" s="658"/>
      <c r="Z13" s="102"/>
      <c r="AA13" s="658"/>
      <c r="AB13" s="658"/>
      <c r="AC13" s="105"/>
    </row>
    <row r="14" spans="1:29" x14ac:dyDescent="0.25">
      <c r="A14" s="665"/>
      <c r="B14" s="666"/>
      <c r="C14" s="667"/>
      <c r="D14" s="71"/>
      <c r="E14" s="62"/>
      <c r="F14" s="63"/>
      <c r="G14" s="60"/>
      <c r="H14" s="59">
        <v>1</v>
      </c>
      <c r="I14" s="60"/>
      <c r="J14" s="332">
        <f>Worktable!K2</f>
        <v>0</v>
      </c>
      <c r="K14" s="68"/>
      <c r="L14" s="73">
        <f t="shared" si="0"/>
        <v>0</v>
      </c>
      <c r="M14" s="44">
        <f t="shared" si="1"/>
        <v>0</v>
      </c>
      <c r="N14" s="45">
        <f t="shared" si="2"/>
        <v>0</v>
      </c>
      <c r="O14" s="85" t="s">
        <v>191</v>
      </c>
      <c r="P14" s="656"/>
      <c r="Q14" s="657"/>
      <c r="R14" s="78" t="s">
        <v>92</v>
      </c>
      <c r="S14" s="79"/>
      <c r="T14" s="80" t="s">
        <v>192</v>
      </c>
      <c r="U14" s="79"/>
      <c r="V14" s="80" t="s">
        <v>93</v>
      </c>
      <c r="W14" s="79"/>
      <c r="X14" s="658"/>
      <c r="Y14" s="658"/>
      <c r="Z14" s="102"/>
      <c r="AA14" s="658"/>
      <c r="AB14" s="658"/>
      <c r="AC14" s="105"/>
    </row>
    <row r="15" spans="1:29" x14ac:dyDescent="0.25">
      <c r="A15" s="665"/>
      <c r="B15" s="666"/>
      <c r="C15" s="667"/>
      <c r="D15" s="71"/>
      <c r="E15" s="62"/>
      <c r="F15" s="63"/>
      <c r="G15" s="60"/>
      <c r="H15" s="60">
        <v>1</v>
      </c>
      <c r="I15" s="60"/>
      <c r="J15" s="332">
        <f>Worktable!K2</f>
        <v>0</v>
      </c>
      <c r="K15" s="68"/>
      <c r="L15" s="73">
        <f t="shared" si="0"/>
        <v>0</v>
      </c>
      <c r="M15" s="44">
        <f t="shared" si="1"/>
        <v>0</v>
      </c>
      <c r="N15" s="45">
        <f t="shared" si="2"/>
        <v>0</v>
      </c>
      <c r="O15" s="85" t="s">
        <v>191</v>
      </c>
      <c r="P15" s="656"/>
      <c r="Q15" s="657"/>
      <c r="R15" s="78" t="s">
        <v>92</v>
      </c>
      <c r="S15" s="79"/>
      <c r="T15" s="80" t="s">
        <v>192</v>
      </c>
      <c r="U15" s="79"/>
      <c r="V15" s="80" t="s">
        <v>93</v>
      </c>
      <c r="W15" s="79"/>
      <c r="X15" s="658"/>
      <c r="Y15" s="658"/>
      <c r="Z15" s="102"/>
      <c r="AA15" s="658"/>
      <c r="AB15" s="658"/>
      <c r="AC15" s="105"/>
    </row>
    <row r="16" spans="1:29" ht="15.75" thickBot="1" x14ac:dyDescent="0.3">
      <c r="A16" s="674"/>
      <c r="B16" s="675"/>
      <c r="C16" s="676"/>
      <c r="D16" s="72"/>
      <c r="E16" s="64"/>
      <c r="F16" s="65"/>
      <c r="G16" s="66"/>
      <c r="H16" s="66">
        <v>1</v>
      </c>
      <c r="I16" s="66"/>
      <c r="J16" s="363">
        <f>Worktable!K2</f>
        <v>0</v>
      </c>
      <c r="K16" s="69"/>
      <c r="L16" s="74">
        <f t="shared" si="0"/>
        <v>0</v>
      </c>
      <c r="M16" s="96">
        <f t="shared" si="1"/>
        <v>0</v>
      </c>
      <c r="N16" s="97">
        <f t="shared" si="2"/>
        <v>0</v>
      </c>
      <c r="O16" s="86" t="s">
        <v>191</v>
      </c>
      <c r="P16" s="662"/>
      <c r="Q16" s="663"/>
      <c r="R16" s="78" t="s">
        <v>92</v>
      </c>
      <c r="S16" s="79"/>
      <c r="T16" s="80" t="s">
        <v>192</v>
      </c>
      <c r="U16" s="79"/>
      <c r="V16" s="80" t="s">
        <v>93</v>
      </c>
      <c r="W16" s="79"/>
      <c r="X16" s="658"/>
      <c r="Y16" s="658"/>
      <c r="Z16" s="102"/>
      <c r="AA16" s="658"/>
      <c r="AB16" s="658"/>
      <c r="AC16" s="105"/>
    </row>
    <row r="17" spans="1:29" x14ac:dyDescent="0.25">
      <c r="A17" s="677"/>
      <c r="B17" s="678"/>
      <c r="C17" s="679"/>
      <c r="D17" s="98"/>
      <c r="E17" s="89"/>
      <c r="F17" s="90"/>
      <c r="G17" s="91"/>
      <c r="H17" s="91">
        <v>1</v>
      </c>
      <c r="I17" s="91"/>
      <c r="J17" s="362">
        <f>Worktable!K2</f>
        <v>0</v>
      </c>
      <c r="K17" s="92"/>
      <c r="L17" s="93">
        <f t="shared" si="0"/>
        <v>0</v>
      </c>
      <c r="M17" s="94">
        <f t="shared" si="1"/>
        <v>0</v>
      </c>
      <c r="N17" s="95">
        <f t="shared" si="2"/>
        <v>0</v>
      </c>
      <c r="O17" s="86" t="s">
        <v>191</v>
      </c>
      <c r="P17" s="662"/>
      <c r="Q17" s="663"/>
      <c r="R17" s="78" t="s">
        <v>92</v>
      </c>
      <c r="S17" s="79"/>
      <c r="T17" s="80" t="s">
        <v>192</v>
      </c>
      <c r="U17" s="79"/>
      <c r="V17" s="80" t="s">
        <v>93</v>
      </c>
      <c r="W17" s="79"/>
      <c r="X17" s="658"/>
      <c r="Y17" s="658"/>
      <c r="Z17" s="102"/>
      <c r="AA17" s="658"/>
      <c r="AB17" s="658"/>
      <c r="AC17" s="105"/>
    </row>
    <row r="18" spans="1:29" x14ac:dyDescent="0.25">
      <c r="A18" s="665"/>
      <c r="B18" s="666"/>
      <c r="C18" s="667"/>
      <c r="D18" s="71"/>
      <c r="E18" s="62"/>
      <c r="F18" s="63"/>
      <c r="G18" s="60"/>
      <c r="H18" s="59">
        <v>1</v>
      </c>
      <c r="I18" s="60"/>
      <c r="J18" s="332">
        <f>Worktable!K2</f>
        <v>0</v>
      </c>
      <c r="K18" s="68"/>
      <c r="L18" s="73">
        <f t="shared" si="0"/>
        <v>0</v>
      </c>
      <c r="M18" s="44">
        <f t="shared" si="1"/>
        <v>0</v>
      </c>
      <c r="N18" s="45">
        <f t="shared" si="2"/>
        <v>0</v>
      </c>
      <c r="O18" s="86" t="s">
        <v>191</v>
      </c>
      <c r="P18" s="662"/>
      <c r="Q18" s="663"/>
      <c r="R18" s="78" t="s">
        <v>92</v>
      </c>
      <c r="S18" s="79"/>
      <c r="T18" s="80" t="s">
        <v>192</v>
      </c>
      <c r="U18" s="79"/>
      <c r="V18" s="80" t="s">
        <v>93</v>
      </c>
      <c r="W18" s="79"/>
      <c r="X18" s="658"/>
      <c r="Y18" s="658"/>
      <c r="Z18" s="102"/>
      <c r="AA18" s="658"/>
      <c r="AB18" s="658"/>
      <c r="AC18" s="105"/>
    </row>
    <row r="19" spans="1:29" x14ac:dyDescent="0.25">
      <c r="A19" s="665"/>
      <c r="B19" s="666"/>
      <c r="C19" s="667"/>
      <c r="D19" s="71"/>
      <c r="E19" s="62"/>
      <c r="F19" s="63"/>
      <c r="G19" s="60"/>
      <c r="H19" s="60">
        <v>1</v>
      </c>
      <c r="I19" s="60"/>
      <c r="J19" s="332">
        <f>Worktable!K2</f>
        <v>0</v>
      </c>
      <c r="K19" s="68"/>
      <c r="L19" s="73">
        <f t="shared" si="0"/>
        <v>0</v>
      </c>
      <c r="M19" s="44">
        <f t="shared" si="1"/>
        <v>0</v>
      </c>
      <c r="N19" s="45">
        <f t="shared" si="2"/>
        <v>0</v>
      </c>
      <c r="O19" s="86" t="s">
        <v>191</v>
      </c>
      <c r="P19" s="662"/>
      <c r="Q19" s="663"/>
      <c r="R19" s="78" t="s">
        <v>92</v>
      </c>
      <c r="S19" s="79"/>
      <c r="T19" s="80" t="s">
        <v>192</v>
      </c>
      <c r="U19" s="79"/>
      <c r="V19" s="80" t="s">
        <v>93</v>
      </c>
      <c r="W19" s="79"/>
      <c r="X19" s="658"/>
      <c r="Y19" s="658"/>
      <c r="Z19" s="102"/>
      <c r="AA19" s="658"/>
      <c r="AB19" s="658"/>
      <c r="AC19" s="105"/>
    </row>
    <row r="20" spans="1:29" x14ac:dyDescent="0.25">
      <c r="A20" s="665"/>
      <c r="B20" s="666"/>
      <c r="C20" s="667"/>
      <c r="D20" s="71"/>
      <c r="E20" s="62"/>
      <c r="F20" s="63"/>
      <c r="G20" s="60"/>
      <c r="H20" s="60">
        <v>1</v>
      </c>
      <c r="I20" s="60"/>
      <c r="J20" s="332">
        <f>Worktable!K2</f>
        <v>0</v>
      </c>
      <c r="K20" s="68"/>
      <c r="L20" s="73">
        <f t="shared" si="0"/>
        <v>0</v>
      </c>
      <c r="M20" s="44">
        <f t="shared" si="1"/>
        <v>0</v>
      </c>
      <c r="N20" s="45">
        <f t="shared" si="2"/>
        <v>0</v>
      </c>
      <c r="O20" s="86" t="s">
        <v>191</v>
      </c>
      <c r="P20" s="662"/>
      <c r="Q20" s="663"/>
      <c r="R20" s="78" t="s">
        <v>92</v>
      </c>
      <c r="S20" s="79"/>
      <c r="T20" s="80" t="s">
        <v>192</v>
      </c>
      <c r="U20" s="79"/>
      <c r="V20" s="80" t="s">
        <v>93</v>
      </c>
      <c r="W20" s="79"/>
      <c r="X20" s="658"/>
      <c r="Y20" s="658"/>
      <c r="Z20" s="102"/>
      <c r="AA20" s="658"/>
      <c r="AB20" s="658"/>
      <c r="AC20" s="105"/>
    </row>
    <row r="21" spans="1:29" x14ac:dyDescent="0.25">
      <c r="A21" s="665"/>
      <c r="B21" s="666"/>
      <c r="C21" s="667"/>
      <c r="D21" s="71"/>
      <c r="E21" s="62"/>
      <c r="F21" s="63"/>
      <c r="G21" s="60"/>
      <c r="H21" s="59">
        <v>1</v>
      </c>
      <c r="I21" s="60"/>
      <c r="J21" s="332">
        <f>Worktable!K2</f>
        <v>0</v>
      </c>
      <c r="K21" s="68"/>
      <c r="L21" s="73">
        <f t="shared" si="0"/>
        <v>0</v>
      </c>
      <c r="M21" s="44">
        <f t="shared" si="1"/>
        <v>0</v>
      </c>
      <c r="N21" s="45">
        <f t="shared" si="2"/>
        <v>0</v>
      </c>
      <c r="O21" s="86" t="s">
        <v>191</v>
      </c>
      <c r="P21" s="662"/>
      <c r="Q21" s="663"/>
      <c r="R21" s="78" t="s">
        <v>92</v>
      </c>
      <c r="S21" s="79"/>
      <c r="T21" s="80" t="s">
        <v>192</v>
      </c>
      <c r="U21" s="79"/>
      <c r="V21" s="80" t="s">
        <v>93</v>
      </c>
      <c r="W21" s="79"/>
      <c r="X21" s="658"/>
      <c r="Y21" s="658"/>
      <c r="Z21" s="102"/>
      <c r="AA21" s="658"/>
      <c r="AB21" s="658"/>
      <c r="AC21" s="105"/>
    </row>
    <row r="22" spans="1:29" x14ac:dyDescent="0.25">
      <c r="A22" s="665"/>
      <c r="B22" s="666"/>
      <c r="C22" s="667"/>
      <c r="D22" s="70"/>
      <c r="E22" s="62"/>
      <c r="F22" s="63"/>
      <c r="G22" s="60"/>
      <c r="H22" s="60">
        <v>1</v>
      </c>
      <c r="I22" s="60"/>
      <c r="J22" s="332">
        <f>Worktable!K2</f>
        <v>0</v>
      </c>
      <c r="K22" s="68"/>
      <c r="L22" s="73">
        <f t="shared" si="0"/>
        <v>0</v>
      </c>
      <c r="M22" s="44">
        <f t="shared" si="1"/>
        <v>0</v>
      </c>
      <c r="N22" s="45">
        <f t="shared" si="2"/>
        <v>0</v>
      </c>
      <c r="O22" s="86" t="s">
        <v>191</v>
      </c>
      <c r="P22" s="662"/>
      <c r="Q22" s="663"/>
      <c r="R22" s="78" t="s">
        <v>92</v>
      </c>
      <c r="S22" s="79"/>
      <c r="T22" s="80" t="s">
        <v>192</v>
      </c>
      <c r="U22" s="79"/>
      <c r="V22" s="80" t="s">
        <v>93</v>
      </c>
      <c r="W22" s="79"/>
      <c r="X22" s="658"/>
      <c r="Y22" s="658"/>
      <c r="Z22" s="102"/>
      <c r="AA22" s="658"/>
      <c r="AB22" s="658"/>
      <c r="AC22" s="105"/>
    </row>
    <row r="23" spans="1:29" x14ac:dyDescent="0.25">
      <c r="A23" s="665"/>
      <c r="B23" s="666"/>
      <c r="C23" s="667"/>
      <c r="D23" s="71"/>
      <c r="E23" s="62"/>
      <c r="F23" s="63"/>
      <c r="G23" s="60"/>
      <c r="H23" s="60">
        <v>1</v>
      </c>
      <c r="I23" s="60"/>
      <c r="J23" s="332">
        <f>Worktable!K2</f>
        <v>0</v>
      </c>
      <c r="K23" s="68"/>
      <c r="L23" s="73">
        <f t="shared" si="0"/>
        <v>0</v>
      </c>
      <c r="M23" s="44">
        <f t="shared" si="1"/>
        <v>0</v>
      </c>
      <c r="N23" s="45">
        <f t="shared" si="2"/>
        <v>0</v>
      </c>
      <c r="O23" s="86" t="s">
        <v>191</v>
      </c>
      <c r="P23" s="662"/>
      <c r="Q23" s="663"/>
      <c r="R23" s="78" t="s">
        <v>92</v>
      </c>
      <c r="S23" s="79"/>
      <c r="T23" s="80" t="s">
        <v>192</v>
      </c>
      <c r="U23" s="79"/>
      <c r="V23" s="80" t="s">
        <v>93</v>
      </c>
      <c r="W23" s="79"/>
      <c r="X23" s="658"/>
      <c r="Y23" s="658"/>
      <c r="Z23" s="102"/>
      <c r="AA23" s="658"/>
      <c r="AB23" s="658"/>
      <c r="AC23" s="105"/>
    </row>
    <row r="24" spans="1:29" x14ac:dyDescent="0.25">
      <c r="A24" s="665"/>
      <c r="B24" s="666"/>
      <c r="C24" s="667"/>
      <c r="D24" s="71"/>
      <c r="E24" s="62"/>
      <c r="F24" s="63"/>
      <c r="G24" s="60"/>
      <c r="H24" s="59">
        <v>1</v>
      </c>
      <c r="I24" s="60"/>
      <c r="J24" s="332">
        <f>Worktable!K2</f>
        <v>0</v>
      </c>
      <c r="K24" s="68"/>
      <c r="L24" s="73">
        <f t="shared" si="0"/>
        <v>0</v>
      </c>
      <c r="M24" s="44">
        <f t="shared" si="1"/>
        <v>0</v>
      </c>
      <c r="N24" s="45">
        <f t="shared" si="2"/>
        <v>0</v>
      </c>
      <c r="O24" s="86" t="s">
        <v>191</v>
      </c>
      <c r="P24" s="662"/>
      <c r="Q24" s="663"/>
      <c r="R24" s="78" t="s">
        <v>92</v>
      </c>
      <c r="S24" s="79"/>
      <c r="T24" s="80" t="s">
        <v>192</v>
      </c>
      <c r="U24" s="79"/>
      <c r="V24" s="80" t="s">
        <v>93</v>
      </c>
      <c r="W24" s="79"/>
      <c r="X24" s="658"/>
      <c r="Y24" s="658"/>
      <c r="Z24" s="102"/>
      <c r="AA24" s="658"/>
      <c r="AB24" s="658"/>
      <c r="AC24" s="105"/>
    </row>
    <row r="25" spans="1:29" x14ac:dyDescent="0.25">
      <c r="A25" s="665"/>
      <c r="B25" s="666"/>
      <c r="C25" s="667"/>
      <c r="D25" s="71"/>
      <c r="E25" s="62"/>
      <c r="F25" s="63"/>
      <c r="G25" s="60"/>
      <c r="H25" s="60">
        <v>1</v>
      </c>
      <c r="I25" s="60"/>
      <c r="J25" s="332">
        <f>Worktable!K2</f>
        <v>0</v>
      </c>
      <c r="K25" s="68"/>
      <c r="L25" s="73">
        <f t="shared" si="0"/>
        <v>0</v>
      </c>
      <c r="M25" s="44">
        <f t="shared" si="1"/>
        <v>0</v>
      </c>
      <c r="N25" s="45">
        <f t="shared" si="2"/>
        <v>0</v>
      </c>
      <c r="O25" s="85" t="s">
        <v>191</v>
      </c>
      <c r="P25" s="656"/>
      <c r="Q25" s="657"/>
      <c r="R25" s="78" t="s">
        <v>92</v>
      </c>
      <c r="S25" s="79"/>
      <c r="T25" s="80" t="s">
        <v>192</v>
      </c>
      <c r="U25" s="79"/>
      <c r="V25" s="80" t="s">
        <v>93</v>
      </c>
      <c r="W25" s="79"/>
      <c r="X25" s="658"/>
      <c r="Y25" s="658"/>
      <c r="Z25" s="102"/>
      <c r="AA25" s="658"/>
      <c r="AB25" s="658"/>
      <c r="AC25" s="105"/>
    </row>
    <row r="26" spans="1:29" x14ac:dyDescent="0.25">
      <c r="A26" s="665"/>
      <c r="B26" s="666"/>
      <c r="C26" s="667"/>
      <c r="D26" s="71"/>
      <c r="E26" s="62"/>
      <c r="F26" s="63"/>
      <c r="G26" s="60"/>
      <c r="H26" s="60">
        <v>1</v>
      </c>
      <c r="I26" s="60"/>
      <c r="J26" s="332">
        <f>Worktable!K2</f>
        <v>0</v>
      </c>
      <c r="K26" s="68"/>
      <c r="L26" s="73">
        <f t="shared" si="0"/>
        <v>0</v>
      </c>
      <c r="M26" s="44">
        <f t="shared" si="1"/>
        <v>0</v>
      </c>
      <c r="N26" s="45">
        <f t="shared" si="2"/>
        <v>0</v>
      </c>
      <c r="O26" s="86" t="s">
        <v>191</v>
      </c>
      <c r="P26" s="662"/>
      <c r="Q26" s="663"/>
      <c r="R26" s="78" t="s">
        <v>92</v>
      </c>
      <c r="S26" s="79"/>
      <c r="T26" s="80" t="s">
        <v>192</v>
      </c>
      <c r="U26" s="79"/>
      <c r="V26" s="80" t="s">
        <v>93</v>
      </c>
      <c r="W26" s="79"/>
      <c r="X26" s="658"/>
      <c r="Y26" s="658"/>
      <c r="Z26" s="102"/>
      <c r="AA26" s="658"/>
      <c r="AB26" s="658"/>
      <c r="AC26" s="105"/>
    </row>
    <row r="27" spans="1:29" x14ac:dyDescent="0.25">
      <c r="A27" s="665"/>
      <c r="B27" s="666"/>
      <c r="C27" s="667"/>
      <c r="D27" s="70"/>
      <c r="E27" s="62"/>
      <c r="F27" s="63"/>
      <c r="G27" s="60"/>
      <c r="H27" s="59">
        <v>1</v>
      </c>
      <c r="I27" s="60"/>
      <c r="J27" s="332">
        <f>Worktable!K2</f>
        <v>0</v>
      </c>
      <c r="K27" s="68"/>
      <c r="L27" s="73">
        <f t="shared" si="0"/>
        <v>0</v>
      </c>
      <c r="M27" s="44">
        <f t="shared" si="1"/>
        <v>0</v>
      </c>
      <c r="N27" s="45">
        <f t="shared" si="2"/>
        <v>0</v>
      </c>
      <c r="O27" s="85" t="s">
        <v>191</v>
      </c>
      <c r="P27" s="656"/>
      <c r="Q27" s="657"/>
      <c r="R27" s="78" t="s">
        <v>92</v>
      </c>
      <c r="S27" s="79"/>
      <c r="T27" s="80" t="s">
        <v>192</v>
      </c>
      <c r="U27" s="79"/>
      <c r="V27" s="80" t="s">
        <v>93</v>
      </c>
      <c r="W27" s="79"/>
      <c r="X27" s="658"/>
      <c r="Y27" s="658"/>
      <c r="Z27" s="102"/>
      <c r="AA27" s="658"/>
      <c r="AB27" s="658"/>
      <c r="AC27" s="105"/>
    </row>
    <row r="28" spans="1:29" x14ac:dyDescent="0.25">
      <c r="A28" s="665"/>
      <c r="B28" s="666"/>
      <c r="C28" s="667"/>
      <c r="D28" s="71"/>
      <c r="E28" s="62"/>
      <c r="F28" s="63"/>
      <c r="G28" s="60"/>
      <c r="H28" s="60">
        <v>1</v>
      </c>
      <c r="I28" s="60"/>
      <c r="J28" s="332">
        <f>Worktable!K2</f>
        <v>0</v>
      </c>
      <c r="K28" s="68"/>
      <c r="L28" s="73">
        <f t="shared" si="0"/>
        <v>0</v>
      </c>
      <c r="M28" s="44">
        <f t="shared" si="1"/>
        <v>0</v>
      </c>
      <c r="N28" s="45">
        <f t="shared" si="2"/>
        <v>0</v>
      </c>
      <c r="O28" s="85" t="s">
        <v>191</v>
      </c>
      <c r="P28" s="656"/>
      <c r="Q28" s="657"/>
      <c r="R28" s="78" t="s">
        <v>92</v>
      </c>
      <c r="S28" s="79"/>
      <c r="T28" s="80" t="s">
        <v>192</v>
      </c>
      <c r="U28" s="79"/>
      <c r="V28" s="80" t="s">
        <v>93</v>
      </c>
      <c r="W28" s="79"/>
      <c r="X28" s="658"/>
      <c r="Y28" s="658"/>
      <c r="Z28" s="102"/>
      <c r="AA28" s="658"/>
      <c r="AB28" s="658"/>
      <c r="AC28" s="105"/>
    </row>
    <row r="29" spans="1:29" x14ac:dyDescent="0.25">
      <c r="A29" s="665"/>
      <c r="B29" s="666"/>
      <c r="C29" s="667"/>
      <c r="D29" s="71"/>
      <c r="E29" s="62"/>
      <c r="F29" s="63"/>
      <c r="G29" s="60"/>
      <c r="H29" s="60">
        <v>1</v>
      </c>
      <c r="I29" s="60"/>
      <c r="J29" s="332">
        <f>Worktable!K2</f>
        <v>0</v>
      </c>
      <c r="K29" s="68"/>
      <c r="L29" s="73">
        <f t="shared" si="0"/>
        <v>0</v>
      </c>
      <c r="M29" s="44">
        <f t="shared" si="1"/>
        <v>0</v>
      </c>
      <c r="N29" s="45">
        <f t="shared" si="2"/>
        <v>0</v>
      </c>
      <c r="O29" s="85" t="s">
        <v>191</v>
      </c>
      <c r="P29" s="656"/>
      <c r="Q29" s="657"/>
      <c r="R29" s="78" t="s">
        <v>92</v>
      </c>
      <c r="S29" s="79"/>
      <c r="T29" s="80" t="s">
        <v>192</v>
      </c>
      <c r="U29" s="79"/>
      <c r="V29" s="80" t="s">
        <v>93</v>
      </c>
      <c r="W29" s="79"/>
      <c r="X29" s="658"/>
      <c r="Y29" s="658"/>
      <c r="Z29" s="102"/>
      <c r="AA29" s="658"/>
      <c r="AB29" s="658"/>
      <c r="AC29" s="105"/>
    </row>
    <row r="30" spans="1:29" x14ac:dyDescent="0.25">
      <c r="A30" s="665"/>
      <c r="B30" s="666"/>
      <c r="C30" s="667"/>
      <c r="D30" s="71"/>
      <c r="E30" s="62"/>
      <c r="F30" s="63"/>
      <c r="G30" s="60"/>
      <c r="H30" s="59">
        <v>1</v>
      </c>
      <c r="I30" s="60"/>
      <c r="J30" s="332">
        <f>Worktable!K2</f>
        <v>0</v>
      </c>
      <c r="K30" s="68"/>
      <c r="L30" s="73">
        <f t="shared" si="0"/>
        <v>0</v>
      </c>
      <c r="M30" s="44">
        <f t="shared" si="1"/>
        <v>0</v>
      </c>
      <c r="N30" s="45">
        <f t="shared" si="2"/>
        <v>0</v>
      </c>
      <c r="O30" s="85" t="s">
        <v>191</v>
      </c>
      <c r="P30" s="656"/>
      <c r="Q30" s="657"/>
      <c r="R30" s="78" t="s">
        <v>92</v>
      </c>
      <c r="S30" s="79"/>
      <c r="T30" s="80" t="s">
        <v>192</v>
      </c>
      <c r="U30" s="79"/>
      <c r="V30" s="80" t="s">
        <v>93</v>
      </c>
      <c r="W30" s="79"/>
      <c r="X30" s="658"/>
      <c r="Y30" s="658"/>
      <c r="Z30" s="102"/>
      <c r="AA30" s="658"/>
      <c r="AB30" s="658"/>
      <c r="AC30" s="105"/>
    </row>
    <row r="31" spans="1:29" ht="15.75" thickBot="1" x14ac:dyDescent="0.3">
      <c r="A31" s="674"/>
      <c r="B31" s="675"/>
      <c r="C31" s="676"/>
      <c r="D31" s="72"/>
      <c r="E31" s="64"/>
      <c r="F31" s="65"/>
      <c r="G31" s="66"/>
      <c r="H31" s="66">
        <v>1</v>
      </c>
      <c r="I31" s="66"/>
      <c r="J31" s="363">
        <f>Worktable!K2</f>
        <v>0</v>
      </c>
      <c r="K31" s="69"/>
      <c r="L31" s="74">
        <f t="shared" si="0"/>
        <v>0</v>
      </c>
      <c r="M31" s="96">
        <f t="shared" si="1"/>
        <v>0</v>
      </c>
      <c r="N31" s="97">
        <f t="shared" si="2"/>
        <v>0</v>
      </c>
      <c r="O31" s="85" t="s">
        <v>191</v>
      </c>
      <c r="P31" s="656"/>
      <c r="Q31" s="657"/>
      <c r="R31" s="78" t="s">
        <v>92</v>
      </c>
      <c r="S31" s="79"/>
      <c r="T31" s="80" t="s">
        <v>192</v>
      </c>
      <c r="U31" s="79"/>
      <c r="V31" s="80" t="s">
        <v>93</v>
      </c>
      <c r="W31" s="79"/>
      <c r="X31" s="658"/>
      <c r="Y31" s="658"/>
      <c r="Z31" s="102"/>
      <c r="AA31" s="658"/>
      <c r="AB31" s="658"/>
      <c r="AC31" s="105"/>
    </row>
    <row r="32" spans="1:29" x14ac:dyDescent="0.25">
      <c r="A32" s="677"/>
      <c r="B32" s="678"/>
      <c r="C32" s="679"/>
      <c r="D32" s="98"/>
      <c r="E32" s="89"/>
      <c r="F32" s="90"/>
      <c r="G32" s="91"/>
      <c r="H32" s="91">
        <v>1</v>
      </c>
      <c r="I32" s="91"/>
      <c r="J32" s="362">
        <f>Worktable!K2</f>
        <v>0</v>
      </c>
      <c r="K32" s="92"/>
      <c r="L32" s="93">
        <f t="shared" si="0"/>
        <v>0</v>
      </c>
      <c r="M32" s="94">
        <f t="shared" si="1"/>
        <v>0</v>
      </c>
      <c r="N32" s="95">
        <f t="shared" si="2"/>
        <v>0</v>
      </c>
      <c r="O32" s="85" t="s">
        <v>191</v>
      </c>
      <c r="P32" s="656"/>
      <c r="Q32" s="657"/>
      <c r="R32" s="78" t="s">
        <v>92</v>
      </c>
      <c r="S32" s="79"/>
      <c r="T32" s="80" t="s">
        <v>192</v>
      </c>
      <c r="U32" s="79"/>
      <c r="V32" s="80" t="s">
        <v>93</v>
      </c>
      <c r="W32" s="79"/>
      <c r="X32" s="658"/>
      <c r="Y32" s="658"/>
      <c r="Z32" s="102"/>
      <c r="AA32" s="658"/>
      <c r="AB32" s="658"/>
      <c r="AC32" s="105"/>
    </row>
    <row r="33" spans="1:29" x14ac:dyDescent="0.25">
      <c r="A33" s="665"/>
      <c r="B33" s="666"/>
      <c r="C33" s="667"/>
      <c r="D33" s="71"/>
      <c r="E33" s="62"/>
      <c r="F33" s="63"/>
      <c r="G33" s="60"/>
      <c r="H33" s="59">
        <v>1</v>
      </c>
      <c r="I33" s="60"/>
      <c r="J33" s="332">
        <f>Worktable!K2</f>
        <v>0</v>
      </c>
      <c r="K33" s="68"/>
      <c r="L33" s="73">
        <f t="shared" si="0"/>
        <v>0</v>
      </c>
      <c r="M33" s="44">
        <f t="shared" si="1"/>
        <v>0</v>
      </c>
      <c r="N33" s="45">
        <f t="shared" si="2"/>
        <v>0</v>
      </c>
      <c r="O33" s="85" t="s">
        <v>191</v>
      </c>
      <c r="P33" s="656"/>
      <c r="Q33" s="657"/>
      <c r="R33" s="78" t="s">
        <v>92</v>
      </c>
      <c r="S33" s="79"/>
      <c r="T33" s="80" t="s">
        <v>192</v>
      </c>
      <c r="U33" s="79"/>
      <c r="V33" s="80" t="s">
        <v>93</v>
      </c>
      <c r="W33" s="79"/>
      <c r="X33" s="658"/>
      <c r="Y33" s="658"/>
      <c r="Z33" s="102"/>
      <c r="AA33" s="658"/>
      <c r="AB33" s="658"/>
      <c r="AC33" s="105"/>
    </row>
    <row r="34" spans="1:29" x14ac:dyDescent="0.25">
      <c r="A34" s="665"/>
      <c r="B34" s="666"/>
      <c r="C34" s="667"/>
      <c r="D34" s="71"/>
      <c r="E34" s="62"/>
      <c r="F34" s="63"/>
      <c r="G34" s="60"/>
      <c r="H34" s="59">
        <v>1</v>
      </c>
      <c r="I34" s="60"/>
      <c r="J34" s="332">
        <f>Worktable!K2</f>
        <v>0</v>
      </c>
      <c r="K34" s="68"/>
      <c r="L34" s="73">
        <f t="shared" si="0"/>
        <v>0</v>
      </c>
      <c r="M34" s="44">
        <f t="shared" si="1"/>
        <v>0</v>
      </c>
      <c r="N34" s="45">
        <f t="shared" si="2"/>
        <v>0</v>
      </c>
      <c r="O34" s="85" t="s">
        <v>191</v>
      </c>
      <c r="P34" s="656"/>
      <c r="Q34" s="657"/>
      <c r="R34" s="78" t="s">
        <v>92</v>
      </c>
      <c r="S34" s="79"/>
      <c r="T34" s="80" t="s">
        <v>192</v>
      </c>
      <c r="U34" s="79"/>
      <c r="V34" s="80" t="s">
        <v>93</v>
      </c>
      <c r="W34" s="79"/>
      <c r="X34" s="658"/>
      <c r="Y34" s="658"/>
      <c r="Z34" s="102"/>
      <c r="AA34" s="658"/>
      <c r="AB34" s="658"/>
      <c r="AC34" s="105"/>
    </row>
    <row r="35" spans="1:29" x14ac:dyDescent="0.25">
      <c r="A35" s="665"/>
      <c r="B35" s="666"/>
      <c r="C35" s="667"/>
      <c r="D35" s="71"/>
      <c r="E35" s="62"/>
      <c r="F35" s="63"/>
      <c r="G35" s="60"/>
      <c r="H35" s="60">
        <v>1</v>
      </c>
      <c r="I35" s="60"/>
      <c r="J35" s="332">
        <f>Worktable!K2</f>
        <v>0</v>
      </c>
      <c r="K35" s="68"/>
      <c r="L35" s="73">
        <f t="shared" si="0"/>
        <v>0</v>
      </c>
      <c r="M35" s="44">
        <f t="shared" si="1"/>
        <v>0</v>
      </c>
      <c r="N35" s="45">
        <f t="shared" si="2"/>
        <v>0</v>
      </c>
      <c r="O35" s="85" t="s">
        <v>191</v>
      </c>
      <c r="P35" s="656"/>
      <c r="Q35" s="657"/>
      <c r="R35" s="78" t="s">
        <v>92</v>
      </c>
      <c r="S35" s="79"/>
      <c r="T35" s="80" t="s">
        <v>192</v>
      </c>
      <c r="U35" s="79"/>
      <c r="V35" s="80" t="s">
        <v>93</v>
      </c>
      <c r="W35" s="79"/>
      <c r="X35" s="658"/>
      <c r="Y35" s="658"/>
      <c r="Z35" s="102"/>
      <c r="AA35" s="658"/>
      <c r="AB35" s="658"/>
      <c r="AC35" s="105"/>
    </row>
    <row r="36" spans="1:29" x14ac:dyDescent="0.25">
      <c r="A36" s="665"/>
      <c r="B36" s="666"/>
      <c r="C36" s="667"/>
      <c r="D36" s="71"/>
      <c r="E36" s="62"/>
      <c r="F36" s="63"/>
      <c r="G36" s="60"/>
      <c r="H36" s="60">
        <v>1</v>
      </c>
      <c r="I36" s="60"/>
      <c r="J36" s="332">
        <f>Worktable!K2</f>
        <v>0</v>
      </c>
      <c r="K36" s="68"/>
      <c r="L36" s="73">
        <f t="shared" si="0"/>
        <v>0</v>
      </c>
      <c r="M36" s="44">
        <f t="shared" si="1"/>
        <v>0</v>
      </c>
      <c r="N36" s="45">
        <f t="shared" si="2"/>
        <v>0</v>
      </c>
      <c r="O36" s="85" t="s">
        <v>191</v>
      </c>
      <c r="P36" s="656"/>
      <c r="Q36" s="657"/>
      <c r="R36" s="78" t="s">
        <v>92</v>
      </c>
      <c r="S36" s="79"/>
      <c r="T36" s="80" t="s">
        <v>192</v>
      </c>
      <c r="U36" s="79"/>
      <c r="V36" s="80" t="s">
        <v>93</v>
      </c>
      <c r="W36" s="79"/>
      <c r="X36" s="658"/>
      <c r="Y36" s="658"/>
      <c r="Z36" s="102"/>
      <c r="AA36" s="658"/>
      <c r="AB36" s="658"/>
      <c r="AC36" s="105"/>
    </row>
    <row r="37" spans="1:29" x14ac:dyDescent="0.25">
      <c r="A37" s="665"/>
      <c r="B37" s="666"/>
      <c r="C37" s="667"/>
      <c r="D37" s="70"/>
      <c r="E37" s="62"/>
      <c r="F37" s="63"/>
      <c r="G37" s="60"/>
      <c r="H37" s="59">
        <v>1</v>
      </c>
      <c r="I37" s="60"/>
      <c r="J37" s="332">
        <f>Worktable!K2</f>
        <v>0</v>
      </c>
      <c r="K37" s="68"/>
      <c r="L37" s="73">
        <f t="shared" si="0"/>
        <v>0</v>
      </c>
      <c r="M37" s="44">
        <f t="shared" si="1"/>
        <v>0</v>
      </c>
      <c r="N37" s="45">
        <f t="shared" si="2"/>
        <v>0</v>
      </c>
      <c r="O37" s="85" t="s">
        <v>191</v>
      </c>
      <c r="P37" s="656"/>
      <c r="Q37" s="657"/>
      <c r="R37" s="78" t="s">
        <v>92</v>
      </c>
      <c r="S37" s="79"/>
      <c r="T37" s="80" t="s">
        <v>192</v>
      </c>
      <c r="U37" s="79"/>
      <c r="V37" s="80" t="s">
        <v>93</v>
      </c>
      <c r="W37" s="79"/>
      <c r="X37" s="658"/>
      <c r="Y37" s="658"/>
      <c r="Z37" s="102"/>
      <c r="AA37" s="658"/>
      <c r="AB37" s="658"/>
      <c r="AC37" s="105"/>
    </row>
    <row r="38" spans="1:29" x14ac:dyDescent="0.25">
      <c r="A38" s="665"/>
      <c r="B38" s="666"/>
      <c r="C38" s="667"/>
      <c r="D38" s="71"/>
      <c r="E38" s="62"/>
      <c r="F38" s="63"/>
      <c r="G38" s="60"/>
      <c r="H38" s="60">
        <v>1</v>
      </c>
      <c r="I38" s="60"/>
      <c r="J38" s="332">
        <f>Worktable!K2</f>
        <v>0</v>
      </c>
      <c r="K38" s="68"/>
      <c r="L38" s="73">
        <f t="shared" si="0"/>
        <v>0</v>
      </c>
      <c r="M38" s="44">
        <f t="shared" si="1"/>
        <v>0</v>
      </c>
      <c r="N38" s="45">
        <f t="shared" si="2"/>
        <v>0</v>
      </c>
      <c r="O38" s="85" t="s">
        <v>191</v>
      </c>
      <c r="P38" s="656"/>
      <c r="Q38" s="657"/>
      <c r="R38" s="78" t="s">
        <v>92</v>
      </c>
      <c r="S38" s="79"/>
      <c r="T38" s="80" t="s">
        <v>192</v>
      </c>
      <c r="U38" s="79"/>
      <c r="V38" s="80" t="s">
        <v>93</v>
      </c>
      <c r="W38" s="79"/>
      <c r="X38" s="658"/>
      <c r="Y38" s="658"/>
      <c r="Z38" s="102"/>
      <c r="AA38" s="658"/>
      <c r="AB38" s="658"/>
      <c r="AC38" s="105"/>
    </row>
    <row r="39" spans="1:29" x14ac:dyDescent="0.25">
      <c r="A39" s="665"/>
      <c r="B39" s="666"/>
      <c r="C39" s="667"/>
      <c r="D39" s="71"/>
      <c r="E39" s="62"/>
      <c r="F39" s="63"/>
      <c r="G39" s="60"/>
      <c r="H39" s="60">
        <v>1</v>
      </c>
      <c r="I39" s="60"/>
      <c r="J39" s="332">
        <f>Worktable!K2</f>
        <v>0</v>
      </c>
      <c r="K39" s="68"/>
      <c r="L39" s="73">
        <f t="shared" si="0"/>
        <v>0</v>
      </c>
      <c r="M39" s="44">
        <f t="shared" si="1"/>
        <v>0</v>
      </c>
      <c r="N39" s="45">
        <f t="shared" si="2"/>
        <v>0</v>
      </c>
      <c r="O39" s="85" t="s">
        <v>191</v>
      </c>
      <c r="P39" s="656"/>
      <c r="Q39" s="657"/>
      <c r="R39" s="78" t="s">
        <v>92</v>
      </c>
      <c r="S39" s="79"/>
      <c r="T39" s="80" t="s">
        <v>192</v>
      </c>
      <c r="U39" s="79"/>
      <c r="V39" s="80" t="s">
        <v>93</v>
      </c>
      <c r="W39" s="79"/>
      <c r="X39" s="658"/>
      <c r="Y39" s="658"/>
      <c r="Z39" s="102"/>
      <c r="AA39" s="658"/>
      <c r="AB39" s="658"/>
      <c r="AC39" s="105"/>
    </row>
    <row r="40" spans="1:29" x14ac:dyDescent="0.25">
      <c r="A40" s="665"/>
      <c r="B40" s="666"/>
      <c r="C40" s="667"/>
      <c r="D40" s="71"/>
      <c r="E40" s="62"/>
      <c r="F40" s="63"/>
      <c r="G40" s="60"/>
      <c r="H40" s="59">
        <v>1</v>
      </c>
      <c r="I40" s="60"/>
      <c r="J40" s="332">
        <f>Worktable!K2</f>
        <v>0</v>
      </c>
      <c r="K40" s="68"/>
      <c r="L40" s="73">
        <f t="shared" si="0"/>
        <v>0</v>
      </c>
      <c r="M40" s="44">
        <f t="shared" si="1"/>
        <v>0</v>
      </c>
      <c r="N40" s="45">
        <f t="shared" si="2"/>
        <v>0</v>
      </c>
      <c r="O40" s="85" t="s">
        <v>191</v>
      </c>
      <c r="P40" s="656"/>
      <c r="Q40" s="657"/>
      <c r="R40" s="78" t="s">
        <v>92</v>
      </c>
      <c r="S40" s="79"/>
      <c r="T40" s="80" t="s">
        <v>192</v>
      </c>
      <c r="U40" s="79"/>
      <c r="V40" s="80" t="s">
        <v>93</v>
      </c>
      <c r="W40" s="79"/>
      <c r="X40" s="658"/>
      <c r="Y40" s="658"/>
      <c r="Z40" s="102"/>
      <c r="AA40" s="658"/>
      <c r="AB40" s="658"/>
      <c r="AC40" s="105"/>
    </row>
    <row r="41" spans="1:29" x14ac:dyDescent="0.25">
      <c r="A41" s="665"/>
      <c r="B41" s="666"/>
      <c r="C41" s="667"/>
      <c r="D41" s="71"/>
      <c r="E41" s="62"/>
      <c r="F41" s="63"/>
      <c r="G41" s="60"/>
      <c r="H41" s="60">
        <v>1</v>
      </c>
      <c r="I41" s="60"/>
      <c r="J41" s="332">
        <f>Worktable!K2</f>
        <v>0</v>
      </c>
      <c r="K41" s="68"/>
      <c r="L41" s="73">
        <f t="shared" si="0"/>
        <v>0</v>
      </c>
      <c r="M41" s="44">
        <f t="shared" si="1"/>
        <v>0</v>
      </c>
      <c r="N41" s="45">
        <f t="shared" si="2"/>
        <v>0</v>
      </c>
      <c r="O41" s="85" t="s">
        <v>191</v>
      </c>
      <c r="P41" s="656"/>
      <c r="Q41" s="657"/>
      <c r="R41" s="78" t="s">
        <v>92</v>
      </c>
      <c r="S41" s="79"/>
      <c r="T41" s="80" t="s">
        <v>192</v>
      </c>
      <c r="U41" s="79"/>
      <c r="V41" s="80" t="s">
        <v>93</v>
      </c>
      <c r="W41" s="79"/>
      <c r="X41" s="658"/>
      <c r="Y41" s="658"/>
      <c r="Z41" s="102"/>
      <c r="AA41" s="658"/>
      <c r="AB41" s="658"/>
      <c r="AC41" s="105"/>
    </row>
    <row r="42" spans="1:29" x14ac:dyDescent="0.25">
      <c r="A42" s="665"/>
      <c r="B42" s="666"/>
      <c r="C42" s="667"/>
      <c r="D42" s="70"/>
      <c r="E42" s="62"/>
      <c r="F42" s="63"/>
      <c r="G42" s="60"/>
      <c r="H42" s="60">
        <v>1</v>
      </c>
      <c r="I42" s="60"/>
      <c r="J42" s="332">
        <f>Worktable!K2</f>
        <v>0</v>
      </c>
      <c r="K42" s="68"/>
      <c r="L42" s="73">
        <f t="shared" si="0"/>
        <v>0</v>
      </c>
      <c r="M42" s="44">
        <f t="shared" si="1"/>
        <v>0</v>
      </c>
      <c r="N42" s="45">
        <f t="shared" si="2"/>
        <v>0</v>
      </c>
      <c r="O42" s="85" t="s">
        <v>191</v>
      </c>
      <c r="P42" s="656"/>
      <c r="Q42" s="657"/>
      <c r="R42" s="78" t="s">
        <v>92</v>
      </c>
      <c r="S42" s="79"/>
      <c r="T42" s="80" t="s">
        <v>192</v>
      </c>
      <c r="U42" s="79"/>
      <c r="V42" s="80" t="s">
        <v>93</v>
      </c>
      <c r="W42" s="79"/>
      <c r="X42" s="658"/>
      <c r="Y42" s="658"/>
      <c r="Z42" s="102"/>
      <c r="AA42" s="658"/>
      <c r="AB42" s="658"/>
      <c r="AC42" s="105"/>
    </row>
    <row r="43" spans="1:29" x14ac:dyDescent="0.25">
      <c r="A43" s="665"/>
      <c r="B43" s="666"/>
      <c r="C43" s="667"/>
      <c r="D43" s="71"/>
      <c r="E43" s="62"/>
      <c r="F43" s="63"/>
      <c r="G43" s="60"/>
      <c r="H43" s="59">
        <v>1</v>
      </c>
      <c r="I43" s="60"/>
      <c r="J43" s="332">
        <f>Worktable!K2</f>
        <v>0</v>
      </c>
      <c r="K43" s="68"/>
      <c r="L43" s="73">
        <f t="shared" si="0"/>
        <v>0</v>
      </c>
      <c r="M43" s="44">
        <f t="shared" si="1"/>
        <v>0</v>
      </c>
      <c r="N43" s="45">
        <f t="shared" si="2"/>
        <v>0</v>
      </c>
      <c r="O43" s="85" t="s">
        <v>191</v>
      </c>
      <c r="P43" s="656"/>
      <c r="Q43" s="657"/>
      <c r="R43" s="78" t="s">
        <v>92</v>
      </c>
      <c r="S43" s="79"/>
      <c r="T43" s="80" t="s">
        <v>192</v>
      </c>
      <c r="U43" s="79"/>
      <c r="V43" s="80" t="s">
        <v>93</v>
      </c>
      <c r="W43" s="79"/>
      <c r="X43" s="658"/>
      <c r="Y43" s="658"/>
      <c r="Z43" s="102"/>
      <c r="AA43" s="658"/>
      <c r="AB43" s="658"/>
      <c r="AC43" s="105"/>
    </row>
    <row r="44" spans="1:29" x14ac:dyDescent="0.25">
      <c r="A44" s="665"/>
      <c r="B44" s="666"/>
      <c r="C44" s="667"/>
      <c r="D44" s="71"/>
      <c r="E44" s="62"/>
      <c r="F44" s="63"/>
      <c r="G44" s="60"/>
      <c r="H44" s="60">
        <v>1</v>
      </c>
      <c r="I44" s="60"/>
      <c r="J44" s="332">
        <f>Worktable!K2</f>
        <v>0</v>
      </c>
      <c r="K44" s="68"/>
      <c r="L44" s="73">
        <f t="shared" si="0"/>
        <v>0</v>
      </c>
      <c r="M44" s="44">
        <f t="shared" si="1"/>
        <v>0</v>
      </c>
      <c r="N44" s="45">
        <f t="shared" si="2"/>
        <v>0</v>
      </c>
      <c r="O44" s="85" t="s">
        <v>191</v>
      </c>
      <c r="P44" s="656"/>
      <c r="Q44" s="657"/>
      <c r="R44" s="78" t="s">
        <v>92</v>
      </c>
      <c r="S44" s="79"/>
      <c r="T44" s="80" t="s">
        <v>192</v>
      </c>
      <c r="U44" s="79"/>
      <c r="V44" s="80" t="s">
        <v>93</v>
      </c>
      <c r="W44" s="79"/>
      <c r="X44" s="658"/>
      <c r="Y44" s="658"/>
      <c r="Z44" s="102"/>
      <c r="AA44" s="658"/>
      <c r="AB44" s="658"/>
      <c r="AC44" s="105"/>
    </row>
    <row r="45" spans="1:29" x14ac:dyDescent="0.25">
      <c r="A45" s="665"/>
      <c r="B45" s="666"/>
      <c r="C45" s="667"/>
      <c r="D45" s="71"/>
      <c r="E45" s="62"/>
      <c r="F45" s="63"/>
      <c r="G45" s="60"/>
      <c r="H45" s="60">
        <v>1</v>
      </c>
      <c r="I45" s="60"/>
      <c r="J45" s="332">
        <f>Worktable!K2</f>
        <v>0</v>
      </c>
      <c r="K45" s="68"/>
      <c r="L45" s="73">
        <f t="shared" si="0"/>
        <v>0</v>
      </c>
      <c r="M45" s="44">
        <f t="shared" si="1"/>
        <v>0</v>
      </c>
      <c r="N45" s="45">
        <f t="shared" si="2"/>
        <v>0</v>
      </c>
      <c r="O45" s="85" t="s">
        <v>191</v>
      </c>
      <c r="P45" s="656"/>
      <c r="Q45" s="657"/>
      <c r="R45" s="78" t="s">
        <v>92</v>
      </c>
      <c r="S45" s="79"/>
      <c r="T45" s="80" t="s">
        <v>192</v>
      </c>
      <c r="U45" s="79"/>
      <c r="V45" s="80" t="s">
        <v>93</v>
      </c>
      <c r="W45" s="79"/>
      <c r="X45" s="658"/>
      <c r="Y45" s="658"/>
      <c r="Z45" s="102"/>
      <c r="AA45" s="658"/>
      <c r="AB45" s="658"/>
      <c r="AC45" s="105"/>
    </row>
    <row r="46" spans="1:29" ht="15.75" thickBot="1" x14ac:dyDescent="0.3">
      <c r="A46" s="674"/>
      <c r="B46" s="675"/>
      <c r="C46" s="676"/>
      <c r="D46" s="72"/>
      <c r="E46" s="64"/>
      <c r="F46" s="65"/>
      <c r="G46" s="66"/>
      <c r="H46" s="67">
        <v>1</v>
      </c>
      <c r="I46" s="66"/>
      <c r="J46" s="363">
        <f>Worktable!K2</f>
        <v>0</v>
      </c>
      <c r="K46" s="69"/>
      <c r="L46" s="74">
        <f t="shared" si="0"/>
        <v>0</v>
      </c>
      <c r="M46" s="96">
        <f t="shared" si="1"/>
        <v>0</v>
      </c>
      <c r="N46" s="97">
        <f t="shared" si="2"/>
        <v>0</v>
      </c>
      <c r="O46" s="87" t="s">
        <v>191</v>
      </c>
      <c r="P46" s="659"/>
      <c r="Q46" s="660"/>
      <c r="R46" s="81" t="s">
        <v>92</v>
      </c>
      <c r="S46" s="82"/>
      <c r="T46" s="83" t="s">
        <v>192</v>
      </c>
      <c r="U46" s="82"/>
      <c r="V46" s="83" t="s">
        <v>93</v>
      </c>
      <c r="W46" s="82"/>
      <c r="X46" s="661"/>
      <c r="Y46" s="661"/>
      <c r="Z46" s="103"/>
      <c r="AA46" s="661"/>
      <c r="AB46" s="661"/>
      <c r="AC46" s="106"/>
    </row>
  </sheetData>
  <sheetProtection algorithmName="SHA-512" hashValue="bYIdRm+DBtAhoPIQNsDnRW0nyJNO01KYhuTbtXz2yWojvE0TBudU1QfqwHYwbO2Dx8SYD1YRKP5wPADtGC+A2w==" saltValue="unNexhNYa4A4YVIwDS4apA==" spinCount="100000" sheet="1" selectLockedCells="1"/>
  <mergeCells count="182">
    <mergeCell ref="A43:C43"/>
    <mergeCell ref="A44:C44"/>
    <mergeCell ref="A45:C45"/>
    <mergeCell ref="A46:C46"/>
    <mergeCell ref="A37:C37"/>
    <mergeCell ref="A38:C38"/>
    <mergeCell ref="A39:C39"/>
    <mergeCell ref="A40:C40"/>
    <mergeCell ref="A41:C41"/>
    <mergeCell ref="A42:C42"/>
    <mergeCell ref="A36:C36"/>
    <mergeCell ref="A25:C25"/>
    <mergeCell ref="A26:C26"/>
    <mergeCell ref="A27:C27"/>
    <mergeCell ref="A28:C28"/>
    <mergeCell ref="A29:C29"/>
    <mergeCell ref="A30:C30"/>
    <mergeCell ref="A31:C31"/>
    <mergeCell ref="A32:C32"/>
    <mergeCell ref="A33:C33"/>
    <mergeCell ref="A34:C34"/>
    <mergeCell ref="A35:C35"/>
    <mergeCell ref="A24:C24"/>
    <mergeCell ref="A13:C13"/>
    <mergeCell ref="A14:C14"/>
    <mergeCell ref="A15:C15"/>
    <mergeCell ref="A16:C16"/>
    <mergeCell ref="A17:C17"/>
    <mergeCell ref="A18:C18"/>
    <mergeCell ref="A19:C19"/>
    <mergeCell ref="A20:C20"/>
    <mergeCell ref="A21:C21"/>
    <mergeCell ref="A22:C22"/>
    <mergeCell ref="A23:C23"/>
    <mergeCell ref="O1:AC1"/>
    <mergeCell ref="A12:C12"/>
    <mergeCell ref="A2:C2"/>
    <mergeCell ref="A3:C3"/>
    <mergeCell ref="A4:C4"/>
    <mergeCell ref="A5:C5"/>
    <mergeCell ref="A6:C6"/>
    <mergeCell ref="A7:C7"/>
    <mergeCell ref="A8:C8"/>
    <mergeCell ref="A9:C9"/>
    <mergeCell ref="A10:C10"/>
    <mergeCell ref="A11:C11"/>
    <mergeCell ref="P2:Q2"/>
    <mergeCell ref="P3:Q3"/>
    <mergeCell ref="P4:Q4"/>
    <mergeCell ref="P5:Q5"/>
    <mergeCell ref="X7:Y7"/>
    <mergeCell ref="AA2:AB2"/>
    <mergeCell ref="AA3:AB3"/>
    <mergeCell ref="AA4:AB4"/>
    <mergeCell ref="AA5:AB5"/>
    <mergeCell ref="AA6:AB6"/>
    <mergeCell ref="AA7:AB7"/>
    <mergeCell ref="X2:Y2"/>
    <mergeCell ref="X3:Y3"/>
    <mergeCell ref="X4:Y4"/>
    <mergeCell ref="X5:Y5"/>
    <mergeCell ref="X6:Y6"/>
    <mergeCell ref="P9:Q9"/>
    <mergeCell ref="X9:Y9"/>
    <mergeCell ref="AA9:AB9"/>
    <mergeCell ref="P10:Q10"/>
    <mergeCell ref="X10:Y10"/>
    <mergeCell ref="AA10:AB10"/>
    <mergeCell ref="P6:Q6"/>
    <mergeCell ref="P7:Q7"/>
    <mergeCell ref="P8:Q8"/>
    <mergeCell ref="X8:Y8"/>
    <mergeCell ref="AA8:AB8"/>
    <mergeCell ref="P13:Q13"/>
    <mergeCell ref="X13:Y13"/>
    <mergeCell ref="AA13:AB13"/>
    <mergeCell ref="P14:Q14"/>
    <mergeCell ref="X14:Y14"/>
    <mergeCell ref="AA14:AB14"/>
    <mergeCell ref="P11:Q11"/>
    <mergeCell ref="X11:Y11"/>
    <mergeCell ref="AA11:AB11"/>
    <mergeCell ref="P12:Q12"/>
    <mergeCell ref="X12:Y12"/>
    <mergeCell ref="AA12:AB12"/>
    <mergeCell ref="P17:Q17"/>
    <mergeCell ref="X17:Y17"/>
    <mergeCell ref="AA17:AB17"/>
    <mergeCell ref="P18:Q18"/>
    <mergeCell ref="X18:Y18"/>
    <mergeCell ref="AA18:AB18"/>
    <mergeCell ref="P15:Q15"/>
    <mergeCell ref="X15:Y15"/>
    <mergeCell ref="AA15:AB15"/>
    <mergeCell ref="P16:Q16"/>
    <mergeCell ref="X16:Y16"/>
    <mergeCell ref="AA16:AB16"/>
    <mergeCell ref="P22:Q22"/>
    <mergeCell ref="X22:Y22"/>
    <mergeCell ref="AA22:AB22"/>
    <mergeCell ref="P23:Q23"/>
    <mergeCell ref="X23:Y23"/>
    <mergeCell ref="AA23:AB23"/>
    <mergeCell ref="P19:Q19"/>
    <mergeCell ref="X19:Y19"/>
    <mergeCell ref="AA19:AB19"/>
    <mergeCell ref="P21:Q21"/>
    <mergeCell ref="X21:Y21"/>
    <mergeCell ref="AA21:AB21"/>
    <mergeCell ref="P26:Q26"/>
    <mergeCell ref="X26:Y26"/>
    <mergeCell ref="AA26:AB26"/>
    <mergeCell ref="P27:Q27"/>
    <mergeCell ref="X27:Y27"/>
    <mergeCell ref="AA27:AB27"/>
    <mergeCell ref="P24:Q24"/>
    <mergeCell ref="X24:Y24"/>
    <mergeCell ref="AA24:AB24"/>
    <mergeCell ref="P25:Q25"/>
    <mergeCell ref="X25:Y25"/>
    <mergeCell ref="AA25:AB25"/>
    <mergeCell ref="AA33:AB33"/>
    <mergeCell ref="P30:Q30"/>
    <mergeCell ref="X30:Y30"/>
    <mergeCell ref="AA30:AB30"/>
    <mergeCell ref="P31:Q31"/>
    <mergeCell ref="X31:Y31"/>
    <mergeCell ref="AA31:AB31"/>
    <mergeCell ref="P28:Q28"/>
    <mergeCell ref="X28:Y28"/>
    <mergeCell ref="AA28:AB28"/>
    <mergeCell ref="P29:Q29"/>
    <mergeCell ref="X29:Y29"/>
    <mergeCell ref="AA29:AB29"/>
    <mergeCell ref="AA40:AB40"/>
    <mergeCell ref="P38:Q38"/>
    <mergeCell ref="X38:Y38"/>
    <mergeCell ref="AA38:AB38"/>
    <mergeCell ref="P20:Q20"/>
    <mergeCell ref="X20:Y20"/>
    <mergeCell ref="AA20:AB20"/>
    <mergeCell ref="P36:Q36"/>
    <mergeCell ref="X36:Y36"/>
    <mergeCell ref="AA36:AB36"/>
    <mergeCell ref="P37:Q37"/>
    <mergeCell ref="X37:Y37"/>
    <mergeCell ref="AA37:AB37"/>
    <mergeCell ref="P34:Q34"/>
    <mergeCell ref="X34:Y34"/>
    <mergeCell ref="AA34:AB34"/>
    <mergeCell ref="P35:Q35"/>
    <mergeCell ref="X35:Y35"/>
    <mergeCell ref="AA35:AB35"/>
    <mergeCell ref="P32:Q32"/>
    <mergeCell ref="X32:Y32"/>
    <mergeCell ref="AA32:AB32"/>
    <mergeCell ref="P33:Q33"/>
    <mergeCell ref="X33:Y33"/>
    <mergeCell ref="A1:C1"/>
    <mergeCell ref="P45:Q45"/>
    <mergeCell ref="X45:Y45"/>
    <mergeCell ref="AA45:AB45"/>
    <mergeCell ref="P46:Q46"/>
    <mergeCell ref="X46:Y46"/>
    <mergeCell ref="AA46:AB46"/>
    <mergeCell ref="P43:Q43"/>
    <mergeCell ref="X43:Y43"/>
    <mergeCell ref="AA43:AB43"/>
    <mergeCell ref="P44:Q44"/>
    <mergeCell ref="X44:Y44"/>
    <mergeCell ref="AA44:AB44"/>
    <mergeCell ref="P41:Q41"/>
    <mergeCell ref="X41:Y41"/>
    <mergeCell ref="AA41:AB41"/>
    <mergeCell ref="P42:Q42"/>
    <mergeCell ref="X42:Y42"/>
    <mergeCell ref="AA42:AB42"/>
    <mergeCell ref="P39:Q39"/>
    <mergeCell ref="X39:Y39"/>
    <mergeCell ref="AA39:AB39"/>
    <mergeCell ref="P40:Q40"/>
    <mergeCell ref="X40:Y40"/>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42708"/>
  </sheetPr>
  <dimension ref="A1:Q129"/>
  <sheetViews>
    <sheetView zoomScaleNormal="100" workbookViewId="0">
      <pane ySplit="5" topLeftCell="A6" activePane="bottomLeft" state="frozen"/>
      <selection pane="bottomLeft" activeCell="I8" sqref="I8:K8"/>
    </sheetView>
  </sheetViews>
  <sheetFormatPr defaultRowHeight="15" x14ac:dyDescent="0.25"/>
  <cols>
    <col min="1" max="4" width="6" customWidth="1"/>
    <col min="5" max="5" width="5.28515625" customWidth="1"/>
    <col min="6" max="6" width="0.7109375" style="8" customWidth="1"/>
    <col min="7" max="10" width="6" customWidth="1"/>
    <col min="11" max="11" width="5.28515625" customWidth="1"/>
    <col min="12" max="12" width="0.7109375" style="8" customWidth="1"/>
    <col min="13" max="18" width="6" customWidth="1"/>
  </cols>
  <sheetData>
    <row r="1" spans="1:17" s="1" customFormat="1" ht="18.75" customHeight="1" thickBot="1" x14ac:dyDescent="0.35">
      <c r="A1" s="686" t="s">
        <v>16</v>
      </c>
      <c r="B1" s="687"/>
      <c r="C1" s="687"/>
      <c r="D1" s="687"/>
      <c r="E1" s="687"/>
      <c r="F1" s="687"/>
      <c r="G1" s="687"/>
      <c r="H1" s="687"/>
      <c r="I1" s="687"/>
      <c r="J1" s="687"/>
      <c r="K1" s="687"/>
      <c r="L1" s="687"/>
      <c r="M1" s="687"/>
      <c r="N1" s="687"/>
      <c r="O1" s="687"/>
      <c r="P1" s="687"/>
      <c r="Q1" s="688"/>
    </row>
    <row r="2" spans="1:17" s="8" customFormat="1" ht="3.75" customHeight="1" thickBot="1" x14ac:dyDescent="0.4">
      <c r="A2" s="123"/>
      <c r="B2" s="123"/>
      <c r="C2" s="123"/>
      <c r="D2" s="123"/>
      <c r="E2" s="123"/>
      <c r="F2" s="123"/>
      <c r="G2" s="123"/>
      <c r="H2" s="123"/>
      <c r="I2" s="123"/>
      <c r="J2" s="123"/>
      <c r="K2" s="123"/>
      <c r="L2" s="123"/>
      <c r="M2" s="123"/>
      <c r="N2" s="123"/>
      <c r="O2" s="123"/>
      <c r="P2" s="123"/>
      <c r="Q2" s="123"/>
    </row>
    <row r="3" spans="1:17" ht="15.75" thickBot="1" x14ac:dyDescent="0.3">
      <c r="A3" s="689" t="s">
        <v>35</v>
      </c>
      <c r="B3" s="690"/>
      <c r="C3" s="690"/>
      <c r="D3" s="690"/>
      <c r="E3" s="690"/>
      <c r="F3" s="690"/>
      <c r="G3" s="690"/>
      <c r="H3" s="691"/>
      <c r="I3" s="2"/>
      <c r="J3" s="689" t="s">
        <v>168</v>
      </c>
      <c r="K3" s="690"/>
      <c r="L3" s="690"/>
      <c r="M3" s="690"/>
      <c r="N3" s="690"/>
      <c r="O3" s="690"/>
      <c r="P3" s="690"/>
      <c r="Q3" s="691"/>
    </row>
    <row r="4" spans="1:17" ht="12.75" customHeight="1" thickBot="1" x14ac:dyDescent="0.3">
      <c r="A4" s="34" t="s">
        <v>181</v>
      </c>
      <c r="B4" s="360">
        <f>total_ppe</f>
        <v>0</v>
      </c>
      <c r="C4" s="35" t="s">
        <v>193</v>
      </c>
      <c r="D4" s="36"/>
      <c r="E4" s="692" t="s">
        <v>194</v>
      </c>
      <c r="F4" s="692"/>
      <c r="G4" s="692"/>
      <c r="H4" s="361">
        <f>B4-D4</f>
        <v>0</v>
      </c>
      <c r="I4" s="2"/>
      <c r="J4" s="34" t="s">
        <v>181</v>
      </c>
      <c r="K4" s="696">
        <f>total_isp</f>
        <v>0</v>
      </c>
      <c r="L4" s="697"/>
      <c r="M4" s="37" t="s">
        <v>193</v>
      </c>
      <c r="N4" s="36"/>
      <c r="O4" s="692" t="s">
        <v>194</v>
      </c>
      <c r="P4" s="692"/>
      <c r="Q4" s="361">
        <f>K4-N4</f>
        <v>0</v>
      </c>
    </row>
    <row r="5" spans="1:17" s="8" customFormat="1" ht="3.75" customHeight="1" thickBot="1" x14ac:dyDescent="0.3">
      <c r="A5" s="10"/>
      <c r="B5" s="10"/>
      <c r="C5" s="10"/>
      <c r="D5" s="10"/>
      <c r="E5" s="6"/>
      <c r="F5" s="6"/>
      <c r="G5" s="6"/>
      <c r="H5" s="10"/>
      <c r="I5" s="10"/>
      <c r="J5" s="10"/>
      <c r="K5" s="10"/>
      <c r="L5" s="10"/>
      <c r="M5" s="10"/>
      <c r="N5" s="10"/>
      <c r="O5" s="6"/>
      <c r="P5" s="6"/>
      <c r="Q5" s="10"/>
    </row>
    <row r="6" spans="1:17" ht="15.75" thickBot="1" x14ac:dyDescent="0.3">
      <c r="A6" s="526" t="s">
        <v>195</v>
      </c>
      <c r="B6" s="693"/>
      <c r="C6" s="693"/>
      <c r="D6" s="693"/>
      <c r="E6" s="693"/>
      <c r="F6" s="693"/>
      <c r="G6" s="693"/>
      <c r="H6" s="693"/>
      <c r="I6" s="693"/>
      <c r="J6" s="693"/>
      <c r="K6" s="693"/>
      <c r="L6" s="693"/>
      <c r="M6" s="693"/>
      <c r="N6" s="693"/>
      <c r="O6" s="693"/>
      <c r="P6" s="693"/>
      <c r="Q6" s="527"/>
    </row>
    <row r="7" spans="1:17" s="8" customFormat="1" ht="3.75" customHeight="1" thickBot="1" x14ac:dyDescent="0.3">
      <c r="A7" s="38"/>
      <c r="B7" s="38"/>
      <c r="C7" s="38"/>
      <c r="D7" s="38"/>
      <c r="E7" s="38"/>
      <c r="F7" s="38"/>
      <c r="G7" s="38"/>
      <c r="H7" s="38"/>
      <c r="I7" s="38"/>
      <c r="J7" s="38"/>
      <c r="K7" s="38"/>
      <c r="L7" s="38"/>
      <c r="M7" s="38"/>
      <c r="N7" s="38"/>
      <c r="O7" s="38"/>
      <c r="P7" s="38"/>
      <c r="Q7" s="38"/>
    </row>
    <row r="8" spans="1:17" ht="12.75" customHeight="1" x14ac:dyDescent="0.25">
      <c r="A8" s="682" t="s">
        <v>20</v>
      </c>
      <c r="B8" s="683"/>
      <c r="C8" s="684"/>
      <c r="D8" s="684"/>
      <c r="E8" s="685"/>
      <c r="F8" s="6"/>
      <c r="G8" s="682" t="s">
        <v>20</v>
      </c>
      <c r="H8" s="683"/>
      <c r="I8" s="684"/>
      <c r="J8" s="684"/>
      <c r="K8" s="685"/>
      <c r="L8" s="6"/>
      <c r="M8" s="682" t="s">
        <v>20</v>
      </c>
      <c r="N8" s="683"/>
      <c r="O8" s="684"/>
      <c r="P8" s="684"/>
      <c r="Q8" s="685"/>
    </row>
    <row r="9" spans="1:17" ht="12.75" customHeight="1" x14ac:dyDescent="0.25">
      <c r="A9" s="534" t="s">
        <v>196</v>
      </c>
      <c r="B9" s="477"/>
      <c r="C9" s="680"/>
      <c r="D9" s="680"/>
      <c r="E9" s="681"/>
      <c r="F9" s="6"/>
      <c r="G9" s="534" t="s">
        <v>196</v>
      </c>
      <c r="H9" s="477"/>
      <c r="I9" s="680"/>
      <c r="J9" s="680"/>
      <c r="K9" s="681"/>
      <c r="L9" s="6"/>
      <c r="M9" s="534" t="s">
        <v>196</v>
      </c>
      <c r="N9" s="477"/>
      <c r="O9" s="680"/>
      <c r="P9" s="680"/>
      <c r="Q9" s="681"/>
    </row>
    <row r="10" spans="1:17" ht="12.75" customHeight="1" x14ac:dyDescent="0.25">
      <c r="A10" s="534" t="s">
        <v>197</v>
      </c>
      <c r="B10" s="477"/>
      <c r="C10" s="680"/>
      <c r="D10" s="680"/>
      <c r="E10" s="681"/>
      <c r="F10" s="6"/>
      <c r="G10" s="534" t="s">
        <v>197</v>
      </c>
      <c r="H10" s="477"/>
      <c r="I10" s="680"/>
      <c r="J10" s="680"/>
      <c r="K10" s="681"/>
      <c r="L10" s="6"/>
      <c r="M10" s="534" t="s">
        <v>197</v>
      </c>
      <c r="N10" s="477"/>
      <c r="O10" s="680"/>
      <c r="P10" s="680"/>
      <c r="Q10" s="681"/>
    </row>
    <row r="11" spans="1:17" ht="12.75" customHeight="1" x14ac:dyDescent="0.25">
      <c r="A11" s="534" t="s">
        <v>198</v>
      </c>
      <c r="B11" s="477"/>
      <c r="C11" s="680"/>
      <c r="D11" s="680"/>
      <c r="E11" s="681"/>
      <c r="F11" s="6"/>
      <c r="G11" s="534" t="s">
        <v>198</v>
      </c>
      <c r="H11" s="477"/>
      <c r="I11" s="680"/>
      <c r="J11" s="680"/>
      <c r="K11" s="681"/>
      <c r="L11" s="6"/>
      <c r="M11" s="534" t="s">
        <v>198</v>
      </c>
      <c r="N11" s="477"/>
      <c r="O11" s="680"/>
      <c r="P11" s="680"/>
      <c r="Q11" s="681"/>
    </row>
    <row r="12" spans="1:17" ht="12.75" customHeight="1" x14ac:dyDescent="0.25">
      <c r="A12" s="534" t="s">
        <v>199</v>
      </c>
      <c r="B12" s="477"/>
      <c r="C12" s="680"/>
      <c r="D12" s="680"/>
      <c r="E12" s="681"/>
      <c r="F12" s="6"/>
      <c r="G12" s="534" t="s">
        <v>199</v>
      </c>
      <c r="H12" s="477"/>
      <c r="I12" s="680"/>
      <c r="J12" s="680"/>
      <c r="K12" s="681"/>
      <c r="L12" s="6"/>
      <c r="M12" s="534" t="s">
        <v>199</v>
      </c>
      <c r="N12" s="477"/>
      <c r="O12" s="680"/>
      <c r="P12" s="680"/>
      <c r="Q12" s="681"/>
    </row>
    <row r="13" spans="1:17" ht="12.75" customHeight="1" x14ac:dyDescent="0.25">
      <c r="A13" s="534" t="s">
        <v>200</v>
      </c>
      <c r="B13" s="477"/>
      <c r="C13" s="680"/>
      <c r="D13" s="680"/>
      <c r="E13" s="681"/>
      <c r="F13" s="6"/>
      <c r="G13" s="534" t="s">
        <v>200</v>
      </c>
      <c r="H13" s="477"/>
      <c r="I13" s="680"/>
      <c r="J13" s="680"/>
      <c r="K13" s="681"/>
      <c r="L13" s="6"/>
      <c r="M13" s="534" t="s">
        <v>200</v>
      </c>
      <c r="N13" s="477"/>
      <c r="O13" s="680"/>
      <c r="P13" s="680"/>
      <c r="Q13" s="681"/>
    </row>
    <row r="14" spans="1:17" ht="12.75" customHeight="1" thickBot="1" x14ac:dyDescent="0.3">
      <c r="A14" s="125" t="s">
        <v>121</v>
      </c>
      <c r="B14" s="694"/>
      <c r="C14" s="694"/>
      <c r="D14" s="694"/>
      <c r="E14" s="695"/>
      <c r="F14" s="6"/>
      <c r="G14" s="125" t="s">
        <v>121</v>
      </c>
      <c r="H14" s="694"/>
      <c r="I14" s="694"/>
      <c r="J14" s="694"/>
      <c r="K14" s="695"/>
      <c r="L14" s="6"/>
      <c r="M14" s="125" t="s">
        <v>121</v>
      </c>
      <c r="N14" s="694"/>
      <c r="O14" s="694"/>
      <c r="P14" s="694"/>
      <c r="Q14" s="695"/>
    </row>
    <row r="15" spans="1:17" s="8" customFormat="1" ht="3.75" customHeight="1" thickBot="1" x14ac:dyDescent="0.3">
      <c r="A15" s="6"/>
      <c r="B15" s="6"/>
      <c r="C15" s="6"/>
      <c r="D15" s="6"/>
      <c r="E15" s="6"/>
      <c r="F15" s="6"/>
      <c r="G15" s="6"/>
      <c r="H15" s="6"/>
      <c r="I15" s="6"/>
      <c r="J15" s="6"/>
      <c r="K15" s="6"/>
      <c r="L15" s="6"/>
      <c r="M15" s="6"/>
      <c r="N15" s="6"/>
      <c r="O15" s="6"/>
      <c r="P15" s="6"/>
      <c r="Q15" s="6"/>
    </row>
    <row r="16" spans="1:17" ht="12.75" customHeight="1" x14ac:dyDescent="0.25">
      <c r="A16" s="682" t="s">
        <v>20</v>
      </c>
      <c r="B16" s="683"/>
      <c r="C16" s="684"/>
      <c r="D16" s="684"/>
      <c r="E16" s="685"/>
      <c r="F16" s="6"/>
      <c r="G16" s="682" t="s">
        <v>20</v>
      </c>
      <c r="H16" s="683"/>
      <c r="I16" s="684"/>
      <c r="J16" s="684"/>
      <c r="K16" s="685"/>
      <c r="L16" s="6"/>
      <c r="M16" s="682" t="s">
        <v>20</v>
      </c>
      <c r="N16" s="683"/>
      <c r="O16" s="684"/>
      <c r="P16" s="684"/>
      <c r="Q16" s="685"/>
    </row>
    <row r="17" spans="1:17" ht="12.75" customHeight="1" x14ac:dyDescent="0.25">
      <c r="A17" s="534" t="s">
        <v>196</v>
      </c>
      <c r="B17" s="477"/>
      <c r="C17" s="680"/>
      <c r="D17" s="680"/>
      <c r="E17" s="681"/>
      <c r="F17" s="6"/>
      <c r="G17" s="534" t="s">
        <v>196</v>
      </c>
      <c r="H17" s="477"/>
      <c r="I17" s="680"/>
      <c r="J17" s="680"/>
      <c r="K17" s="681"/>
      <c r="L17" s="6"/>
      <c r="M17" s="534" t="s">
        <v>196</v>
      </c>
      <c r="N17" s="477"/>
      <c r="O17" s="680"/>
      <c r="P17" s="680"/>
      <c r="Q17" s="681"/>
    </row>
    <row r="18" spans="1:17" ht="12.75" customHeight="1" x14ac:dyDescent="0.25">
      <c r="A18" s="534" t="s">
        <v>197</v>
      </c>
      <c r="B18" s="477"/>
      <c r="C18" s="680"/>
      <c r="D18" s="680"/>
      <c r="E18" s="681"/>
      <c r="F18" s="6"/>
      <c r="G18" s="534" t="s">
        <v>197</v>
      </c>
      <c r="H18" s="477"/>
      <c r="I18" s="680"/>
      <c r="J18" s="680"/>
      <c r="K18" s="681"/>
      <c r="L18" s="6"/>
      <c r="M18" s="534" t="s">
        <v>197</v>
      </c>
      <c r="N18" s="477"/>
      <c r="O18" s="680"/>
      <c r="P18" s="680"/>
      <c r="Q18" s="681"/>
    </row>
    <row r="19" spans="1:17" ht="12.75" customHeight="1" x14ac:dyDescent="0.25">
      <c r="A19" s="534" t="s">
        <v>198</v>
      </c>
      <c r="B19" s="477"/>
      <c r="C19" s="680"/>
      <c r="D19" s="680"/>
      <c r="E19" s="681"/>
      <c r="F19" s="6"/>
      <c r="G19" s="534" t="s">
        <v>198</v>
      </c>
      <c r="H19" s="477"/>
      <c r="I19" s="680"/>
      <c r="J19" s="680"/>
      <c r="K19" s="681"/>
      <c r="L19" s="6"/>
      <c r="M19" s="534" t="s">
        <v>198</v>
      </c>
      <c r="N19" s="477"/>
      <c r="O19" s="680"/>
      <c r="P19" s="680"/>
      <c r="Q19" s="681"/>
    </row>
    <row r="20" spans="1:17" ht="12.75" customHeight="1" x14ac:dyDescent="0.25">
      <c r="A20" s="534" t="s">
        <v>199</v>
      </c>
      <c r="B20" s="477"/>
      <c r="C20" s="680"/>
      <c r="D20" s="680"/>
      <c r="E20" s="681"/>
      <c r="F20" s="6"/>
      <c r="G20" s="534" t="s">
        <v>199</v>
      </c>
      <c r="H20" s="477"/>
      <c r="I20" s="680"/>
      <c r="J20" s="680"/>
      <c r="K20" s="681"/>
      <c r="L20" s="6"/>
      <c r="M20" s="534" t="s">
        <v>199</v>
      </c>
      <c r="N20" s="477"/>
      <c r="O20" s="680"/>
      <c r="P20" s="680"/>
      <c r="Q20" s="681"/>
    </row>
    <row r="21" spans="1:17" ht="12.75" customHeight="1" x14ac:dyDescent="0.25">
      <c r="A21" s="534" t="s">
        <v>200</v>
      </c>
      <c r="B21" s="477"/>
      <c r="C21" s="680"/>
      <c r="D21" s="680"/>
      <c r="E21" s="681"/>
      <c r="F21" s="6"/>
      <c r="G21" s="534" t="s">
        <v>200</v>
      </c>
      <c r="H21" s="477"/>
      <c r="I21" s="680"/>
      <c r="J21" s="680"/>
      <c r="K21" s="681"/>
      <c r="L21" s="6"/>
      <c r="M21" s="534" t="s">
        <v>200</v>
      </c>
      <c r="N21" s="477"/>
      <c r="O21" s="680"/>
      <c r="P21" s="680"/>
      <c r="Q21" s="681"/>
    </row>
    <row r="22" spans="1:17" ht="12.75" customHeight="1" thickBot="1" x14ac:dyDescent="0.3">
      <c r="A22" s="125" t="s">
        <v>121</v>
      </c>
      <c r="B22" s="694"/>
      <c r="C22" s="694"/>
      <c r="D22" s="694"/>
      <c r="E22" s="695"/>
      <c r="F22" s="6"/>
      <c r="G22" s="125" t="s">
        <v>121</v>
      </c>
      <c r="H22" s="694"/>
      <c r="I22" s="694"/>
      <c r="J22" s="694"/>
      <c r="K22" s="695"/>
      <c r="L22" s="6"/>
      <c r="M22" s="125" t="s">
        <v>121</v>
      </c>
      <c r="N22" s="694"/>
      <c r="O22" s="694"/>
      <c r="P22" s="694"/>
      <c r="Q22" s="695"/>
    </row>
    <row r="23" spans="1:17" s="8" customFormat="1" ht="3.75" customHeight="1" thickBot="1" x14ac:dyDescent="0.3">
      <c r="A23" s="6"/>
      <c r="B23" s="6"/>
      <c r="C23" s="6"/>
      <c r="D23" s="6"/>
      <c r="E23" s="6"/>
      <c r="F23" s="6"/>
      <c r="G23" s="6"/>
      <c r="H23" s="6"/>
      <c r="I23" s="6"/>
      <c r="J23" s="6"/>
      <c r="K23" s="6"/>
      <c r="L23" s="6"/>
      <c r="M23" s="6"/>
      <c r="N23" s="6"/>
      <c r="O23" s="6"/>
      <c r="P23" s="6"/>
      <c r="Q23" s="6"/>
    </row>
    <row r="24" spans="1:17" ht="12.75" customHeight="1" x14ac:dyDescent="0.25">
      <c r="A24" s="682" t="s">
        <v>20</v>
      </c>
      <c r="B24" s="683"/>
      <c r="C24" s="684"/>
      <c r="D24" s="684"/>
      <c r="E24" s="685"/>
      <c r="F24" s="6"/>
      <c r="G24" s="682" t="s">
        <v>20</v>
      </c>
      <c r="H24" s="683"/>
      <c r="I24" s="684"/>
      <c r="J24" s="684"/>
      <c r="K24" s="685"/>
      <c r="L24" s="6"/>
      <c r="M24" s="682" t="s">
        <v>20</v>
      </c>
      <c r="N24" s="683"/>
      <c r="O24" s="684"/>
      <c r="P24" s="684"/>
      <c r="Q24" s="685"/>
    </row>
    <row r="25" spans="1:17" ht="12.75" customHeight="1" x14ac:dyDescent="0.25">
      <c r="A25" s="534" t="s">
        <v>196</v>
      </c>
      <c r="B25" s="477"/>
      <c r="C25" s="680"/>
      <c r="D25" s="680"/>
      <c r="E25" s="681"/>
      <c r="F25" s="6"/>
      <c r="G25" s="534" t="s">
        <v>196</v>
      </c>
      <c r="H25" s="477"/>
      <c r="I25" s="680"/>
      <c r="J25" s="680"/>
      <c r="K25" s="681"/>
      <c r="L25" s="6"/>
      <c r="M25" s="534" t="s">
        <v>196</v>
      </c>
      <c r="N25" s="477"/>
      <c r="O25" s="680"/>
      <c r="P25" s="680"/>
      <c r="Q25" s="681"/>
    </row>
    <row r="26" spans="1:17" ht="12.75" customHeight="1" x14ac:dyDescent="0.25">
      <c r="A26" s="534" t="s">
        <v>197</v>
      </c>
      <c r="B26" s="477"/>
      <c r="C26" s="680"/>
      <c r="D26" s="680"/>
      <c r="E26" s="681"/>
      <c r="F26" s="6"/>
      <c r="G26" s="534" t="s">
        <v>197</v>
      </c>
      <c r="H26" s="477"/>
      <c r="I26" s="680"/>
      <c r="J26" s="680"/>
      <c r="K26" s="681"/>
      <c r="L26" s="6"/>
      <c r="M26" s="534" t="s">
        <v>197</v>
      </c>
      <c r="N26" s="477"/>
      <c r="O26" s="680"/>
      <c r="P26" s="680"/>
      <c r="Q26" s="681"/>
    </row>
    <row r="27" spans="1:17" ht="12.75" customHeight="1" x14ac:dyDescent="0.25">
      <c r="A27" s="534" t="s">
        <v>198</v>
      </c>
      <c r="B27" s="477"/>
      <c r="C27" s="680"/>
      <c r="D27" s="680"/>
      <c r="E27" s="681"/>
      <c r="F27" s="6"/>
      <c r="G27" s="534" t="s">
        <v>198</v>
      </c>
      <c r="H27" s="477"/>
      <c r="I27" s="680"/>
      <c r="J27" s="680"/>
      <c r="K27" s="681"/>
      <c r="L27" s="6"/>
      <c r="M27" s="534" t="s">
        <v>198</v>
      </c>
      <c r="N27" s="477"/>
      <c r="O27" s="680"/>
      <c r="P27" s="680"/>
      <c r="Q27" s="681"/>
    </row>
    <row r="28" spans="1:17" ht="12.75" customHeight="1" x14ac:dyDescent="0.25">
      <c r="A28" s="534" t="s">
        <v>199</v>
      </c>
      <c r="B28" s="477"/>
      <c r="C28" s="680"/>
      <c r="D28" s="680"/>
      <c r="E28" s="681"/>
      <c r="F28" s="6"/>
      <c r="G28" s="534" t="s">
        <v>199</v>
      </c>
      <c r="H28" s="477"/>
      <c r="I28" s="680"/>
      <c r="J28" s="680"/>
      <c r="K28" s="681"/>
      <c r="L28" s="6"/>
      <c r="M28" s="534" t="s">
        <v>199</v>
      </c>
      <c r="N28" s="477"/>
      <c r="O28" s="680"/>
      <c r="P28" s="680"/>
      <c r="Q28" s="681"/>
    </row>
    <row r="29" spans="1:17" ht="12.75" customHeight="1" x14ac:dyDescent="0.25">
      <c r="A29" s="534" t="s">
        <v>200</v>
      </c>
      <c r="B29" s="477"/>
      <c r="C29" s="680"/>
      <c r="D29" s="680"/>
      <c r="E29" s="681"/>
      <c r="F29" s="6"/>
      <c r="G29" s="534" t="s">
        <v>200</v>
      </c>
      <c r="H29" s="477"/>
      <c r="I29" s="680"/>
      <c r="J29" s="680"/>
      <c r="K29" s="681"/>
      <c r="L29" s="6"/>
      <c r="M29" s="534" t="s">
        <v>200</v>
      </c>
      <c r="N29" s="477"/>
      <c r="O29" s="680"/>
      <c r="P29" s="680"/>
      <c r="Q29" s="681"/>
    </row>
    <row r="30" spans="1:17" ht="12.75" customHeight="1" thickBot="1" x14ac:dyDescent="0.3">
      <c r="A30" s="125" t="s">
        <v>121</v>
      </c>
      <c r="B30" s="694"/>
      <c r="C30" s="694"/>
      <c r="D30" s="694"/>
      <c r="E30" s="695"/>
      <c r="F30" s="6"/>
      <c r="G30" s="125" t="s">
        <v>121</v>
      </c>
      <c r="H30" s="694"/>
      <c r="I30" s="694"/>
      <c r="J30" s="694"/>
      <c r="K30" s="695"/>
      <c r="L30" s="6"/>
      <c r="M30" s="125" t="s">
        <v>121</v>
      </c>
      <c r="N30" s="694"/>
      <c r="O30" s="694"/>
      <c r="P30" s="694"/>
      <c r="Q30" s="695"/>
    </row>
    <row r="31" spans="1:17" s="8" customFormat="1" ht="3.75" customHeight="1" thickBot="1" x14ac:dyDescent="0.3">
      <c r="A31" s="6"/>
      <c r="B31" s="6"/>
      <c r="C31" s="6"/>
      <c r="D31" s="6"/>
      <c r="E31" s="6"/>
      <c r="F31" s="6"/>
      <c r="G31" s="6"/>
      <c r="H31" s="6"/>
      <c r="I31" s="6"/>
      <c r="J31" s="6"/>
      <c r="K31" s="6"/>
      <c r="L31" s="6"/>
      <c r="M31" s="6"/>
      <c r="N31" s="6"/>
      <c r="O31" s="6"/>
      <c r="P31" s="6"/>
      <c r="Q31" s="6"/>
    </row>
    <row r="32" spans="1:17" ht="12.75" customHeight="1" x14ac:dyDescent="0.25">
      <c r="A32" s="682" t="s">
        <v>20</v>
      </c>
      <c r="B32" s="683"/>
      <c r="C32" s="684"/>
      <c r="D32" s="684"/>
      <c r="E32" s="685"/>
      <c r="F32" s="6"/>
      <c r="G32" s="682" t="s">
        <v>20</v>
      </c>
      <c r="H32" s="683"/>
      <c r="I32" s="684"/>
      <c r="J32" s="684"/>
      <c r="K32" s="685"/>
      <c r="L32" s="6"/>
      <c r="M32" s="682" t="s">
        <v>20</v>
      </c>
      <c r="N32" s="683"/>
      <c r="O32" s="684"/>
      <c r="P32" s="684"/>
      <c r="Q32" s="685"/>
    </row>
    <row r="33" spans="1:17" ht="12.75" customHeight="1" x14ac:dyDescent="0.25">
      <c r="A33" s="534" t="s">
        <v>196</v>
      </c>
      <c r="B33" s="477"/>
      <c r="C33" s="680"/>
      <c r="D33" s="680"/>
      <c r="E33" s="681"/>
      <c r="F33" s="6"/>
      <c r="G33" s="534" t="s">
        <v>196</v>
      </c>
      <c r="H33" s="477"/>
      <c r="I33" s="680"/>
      <c r="J33" s="680"/>
      <c r="K33" s="681"/>
      <c r="L33" s="6"/>
      <c r="M33" s="534" t="s">
        <v>196</v>
      </c>
      <c r="N33" s="477"/>
      <c r="O33" s="680"/>
      <c r="P33" s="680"/>
      <c r="Q33" s="681"/>
    </row>
    <row r="34" spans="1:17" ht="12.75" customHeight="1" x14ac:dyDescent="0.25">
      <c r="A34" s="534" t="s">
        <v>197</v>
      </c>
      <c r="B34" s="477"/>
      <c r="C34" s="680"/>
      <c r="D34" s="680"/>
      <c r="E34" s="681"/>
      <c r="F34" s="6"/>
      <c r="G34" s="534" t="s">
        <v>197</v>
      </c>
      <c r="H34" s="477"/>
      <c r="I34" s="680"/>
      <c r="J34" s="680"/>
      <c r="K34" s="681"/>
      <c r="L34" s="6"/>
      <c r="M34" s="534" t="s">
        <v>197</v>
      </c>
      <c r="N34" s="477"/>
      <c r="O34" s="680"/>
      <c r="P34" s="680"/>
      <c r="Q34" s="681"/>
    </row>
    <row r="35" spans="1:17" ht="12.75" customHeight="1" x14ac:dyDescent="0.25">
      <c r="A35" s="534" t="s">
        <v>198</v>
      </c>
      <c r="B35" s="477"/>
      <c r="C35" s="680"/>
      <c r="D35" s="680"/>
      <c r="E35" s="681"/>
      <c r="F35" s="6"/>
      <c r="G35" s="534" t="s">
        <v>198</v>
      </c>
      <c r="H35" s="477"/>
      <c r="I35" s="680"/>
      <c r="J35" s="680"/>
      <c r="K35" s="681"/>
      <c r="L35" s="6"/>
      <c r="M35" s="534" t="s">
        <v>198</v>
      </c>
      <c r="N35" s="477"/>
      <c r="O35" s="680"/>
      <c r="P35" s="680"/>
      <c r="Q35" s="681"/>
    </row>
    <row r="36" spans="1:17" ht="12.75" customHeight="1" x14ac:dyDescent="0.25">
      <c r="A36" s="534" t="s">
        <v>199</v>
      </c>
      <c r="B36" s="477"/>
      <c r="C36" s="680"/>
      <c r="D36" s="680"/>
      <c r="E36" s="681"/>
      <c r="F36" s="6"/>
      <c r="G36" s="534" t="s">
        <v>199</v>
      </c>
      <c r="H36" s="477"/>
      <c r="I36" s="680"/>
      <c r="J36" s="680"/>
      <c r="K36" s="681"/>
      <c r="L36" s="6"/>
      <c r="M36" s="534" t="s">
        <v>199</v>
      </c>
      <c r="N36" s="477"/>
      <c r="O36" s="680"/>
      <c r="P36" s="680"/>
      <c r="Q36" s="681"/>
    </row>
    <row r="37" spans="1:17" ht="12.75" customHeight="1" x14ac:dyDescent="0.25">
      <c r="A37" s="534" t="s">
        <v>200</v>
      </c>
      <c r="B37" s="477"/>
      <c r="C37" s="680"/>
      <c r="D37" s="680"/>
      <c r="E37" s="681"/>
      <c r="F37" s="6"/>
      <c r="G37" s="534" t="s">
        <v>200</v>
      </c>
      <c r="H37" s="477"/>
      <c r="I37" s="680"/>
      <c r="J37" s="680"/>
      <c r="K37" s="681"/>
      <c r="L37" s="6"/>
      <c r="M37" s="534" t="s">
        <v>200</v>
      </c>
      <c r="N37" s="477"/>
      <c r="O37" s="680"/>
      <c r="P37" s="680"/>
      <c r="Q37" s="681"/>
    </row>
    <row r="38" spans="1:17" ht="12.75" customHeight="1" thickBot="1" x14ac:dyDescent="0.3">
      <c r="A38" s="125" t="s">
        <v>121</v>
      </c>
      <c r="B38" s="694"/>
      <c r="C38" s="694"/>
      <c r="D38" s="694"/>
      <c r="E38" s="695"/>
      <c r="F38" s="6"/>
      <c r="G38" s="125" t="s">
        <v>121</v>
      </c>
      <c r="H38" s="694"/>
      <c r="I38" s="694"/>
      <c r="J38" s="694"/>
      <c r="K38" s="695"/>
      <c r="L38" s="6"/>
      <c r="M38" s="125" t="s">
        <v>121</v>
      </c>
      <c r="N38" s="694"/>
      <c r="O38" s="694"/>
      <c r="P38" s="694"/>
      <c r="Q38" s="695"/>
    </row>
    <row r="39" spans="1:17" s="8" customFormat="1" ht="3.75" customHeight="1" thickBot="1" x14ac:dyDescent="0.3">
      <c r="A39" s="6"/>
      <c r="B39" s="6"/>
      <c r="C39" s="6"/>
      <c r="D39" s="6"/>
      <c r="E39" s="6"/>
      <c r="F39" s="6"/>
      <c r="G39" s="6"/>
      <c r="H39" s="6"/>
      <c r="I39" s="6"/>
      <c r="J39" s="6"/>
      <c r="K39" s="6"/>
      <c r="L39" s="6"/>
      <c r="M39" s="6"/>
      <c r="N39" s="6"/>
      <c r="O39" s="6"/>
      <c r="P39" s="6"/>
      <c r="Q39" s="6"/>
    </row>
    <row r="40" spans="1:17" ht="12.75" customHeight="1" x14ac:dyDescent="0.25">
      <c r="A40" s="682" t="s">
        <v>20</v>
      </c>
      <c r="B40" s="683"/>
      <c r="C40" s="684"/>
      <c r="D40" s="684"/>
      <c r="E40" s="685"/>
      <c r="F40" s="6"/>
      <c r="G40" s="682" t="s">
        <v>20</v>
      </c>
      <c r="H40" s="683"/>
      <c r="I40" s="684"/>
      <c r="J40" s="684"/>
      <c r="K40" s="685"/>
      <c r="L40" s="6"/>
      <c r="M40" s="682" t="s">
        <v>20</v>
      </c>
      <c r="N40" s="683"/>
      <c r="O40" s="684"/>
      <c r="P40" s="684"/>
      <c r="Q40" s="685"/>
    </row>
    <row r="41" spans="1:17" ht="12.75" customHeight="1" x14ac:dyDescent="0.25">
      <c r="A41" s="534" t="s">
        <v>196</v>
      </c>
      <c r="B41" s="477"/>
      <c r="C41" s="680"/>
      <c r="D41" s="680"/>
      <c r="E41" s="681"/>
      <c r="F41" s="6"/>
      <c r="G41" s="534" t="s">
        <v>196</v>
      </c>
      <c r="H41" s="477"/>
      <c r="I41" s="680"/>
      <c r="J41" s="680"/>
      <c r="K41" s="681"/>
      <c r="L41" s="6"/>
      <c r="M41" s="534" t="s">
        <v>196</v>
      </c>
      <c r="N41" s="477"/>
      <c r="O41" s="680"/>
      <c r="P41" s="680"/>
      <c r="Q41" s="681"/>
    </row>
    <row r="42" spans="1:17" ht="12.75" customHeight="1" x14ac:dyDescent="0.25">
      <c r="A42" s="534" t="s">
        <v>197</v>
      </c>
      <c r="B42" s="477"/>
      <c r="C42" s="680"/>
      <c r="D42" s="680"/>
      <c r="E42" s="681"/>
      <c r="F42" s="6"/>
      <c r="G42" s="534" t="s">
        <v>197</v>
      </c>
      <c r="H42" s="477"/>
      <c r="I42" s="680"/>
      <c r="J42" s="680"/>
      <c r="K42" s="681"/>
      <c r="L42" s="6"/>
      <c r="M42" s="534" t="s">
        <v>197</v>
      </c>
      <c r="N42" s="477"/>
      <c r="O42" s="680"/>
      <c r="P42" s="680"/>
      <c r="Q42" s="681"/>
    </row>
    <row r="43" spans="1:17" ht="12.75" customHeight="1" x14ac:dyDescent="0.25">
      <c r="A43" s="534" t="s">
        <v>198</v>
      </c>
      <c r="B43" s="477"/>
      <c r="C43" s="680"/>
      <c r="D43" s="680"/>
      <c r="E43" s="681"/>
      <c r="F43" s="6"/>
      <c r="G43" s="534" t="s">
        <v>198</v>
      </c>
      <c r="H43" s="477"/>
      <c r="I43" s="680"/>
      <c r="J43" s="680"/>
      <c r="K43" s="681"/>
      <c r="L43" s="6"/>
      <c r="M43" s="534" t="s">
        <v>198</v>
      </c>
      <c r="N43" s="477"/>
      <c r="O43" s="680"/>
      <c r="P43" s="680"/>
      <c r="Q43" s="681"/>
    </row>
    <row r="44" spans="1:17" ht="12.75" customHeight="1" x14ac:dyDescent="0.25">
      <c r="A44" s="534" t="s">
        <v>199</v>
      </c>
      <c r="B44" s="477"/>
      <c r="C44" s="680"/>
      <c r="D44" s="680"/>
      <c r="E44" s="681"/>
      <c r="F44" s="6"/>
      <c r="G44" s="534" t="s">
        <v>199</v>
      </c>
      <c r="H44" s="477"/>
      <c r="I44" s="680"/>
      <c r="J44" s="680"/>
      <c r="K44" s="681"/>
      <c r="L44" s="6"/>
      <c r="M44" s="534" t="s">
        <v>199</v>
      </c>
      <c r="N44" s="477"/>
      <c r="O44" s="680"/>
      <c r="P44" s="680"/>
      <c r="Q44" s="681"/>
    </row>
    <row r="45" spans="1:17" ht="12.75" customHeight="1" x14ac:dyDescent="0.25">
      <c r="A45" s="534" t="s">
        <v>200</v>
      </c>
      <c r="B45" s="477"/>
      <c r="C45" s="680"/>
      <c r="D45" s="680"/>
      <c r="E45" s="681"/>
      <c r="F45" s="6"/>
      <c r="G45" s="534" t="s">
        <v>200</v>
      </c>
      <c r="H45" s="477"/>
      <c r="I45" s="680"/>
      <c r="J45" s="680"/>
      <c r="K45" s="681"/>
      <c r="L45" s="6"/>
      <c r="M45" s="534" t="s">
        <v>200</v>
      </c>
      <c r="N45" s="477"/>
      <c r="O45" s="680"/>
      <c r="P45" s="680"/>
      <c r="Q45" s="681"/>
    </row>
    <row r="46" spans="1:17" ht="12.75" customHeight="1" thickBot="1" x14ac:dyDescent="0.3">
      <c r="A46" s="125" t="s">
        <v>121</v>
      </c>
      <c r="B46" s="694"/>
      <c r="C46" s="694"/>
      <c r="D46" s="694"/>
      <c r="E46" s="695"/>
      <c r="F46" s="6"/>
      <c r="G46" s="125" t="s">
        <v>121</v>
      </c>
      <c r="H46" s="694"/>
      <c r="I46" s="694"/>
      <c r="J46" s="694"/>
      <c r="K46" s="695"/>
      <c r="L46" s="6"/>
      <c r="M46" s="125" t="s">
        <v>121</v>
      </c>
      <c r="N46" s="694"/>
      <c r="O46" s="694"/>
      <c r="P46" s="694"/>
      <c r="Q46" s="695"/>
    </row>
    <row r="47" spans="1:17" s="8" customFormat="1" ht="3.75" customHeight="1" thickBot="1" x14ac:dyDescent="0.3">
      <c r="A47" s="6"/>
      <c r="B47" s="6"/>
      <c r="C47" s="6"/>
      <c r="D47" s="6"/>
      <c r="E47" s="6"/>
      <c r="F47" s="6"/>
      <c r="G47" s="6"/>
      <c r="H47" s="6"/>
      <c r="I47" s="6"/>
      <c r="J47" s="6"/>
      <c r="K47" s="6"/>
      <c r="L47" s="6"/>
      <c r="M47" s="6"/>
      <c r="N47" s="6"/>
      <c r="O47" s="6"/>
      <c r="P47" s="6"/>
      <c r="Q47" s="6"/>
    </row>
    <row r="48" spans="1:17" ht="12" customHeight="1" x14ac:dyDescent="0.25">
      <c r="A48" s="682" t="s">
        <v>20</v>
      </c>
      <c r="B48" s="683"/>
      <c r="C48" s="684"/>
      <c r="D48" s="684"/>
      <c r="E48" s="685"/>
      <c r="F48" s="6"/>
      <c r="G48" s="682" t="s">
        <v>20</v>
      </c>
      <c r="H48" s="683"/>
      <c r="I48" s="684"/>
      <c r="J48" s="684"/>
      <c r="K48" s="685"/>
      <c r="L48" s="6"/>
      <c r="M48" s="682" t="s">
        <v>20</v>
      </c>
      <c r="N48" s="683"/>
      <c r="O48" s="684"/>
      <c r="P48" s="684"/>
      <c r="Q48" s="685"/>
    </row>
    <row r="49" spans="1:17" ht="12" customHeight="1" x14ac:dyDescent="0.25">
      <c r="A49" s="534" t="s">
        <v>196</v>
      </c>
      <c r="B49" s="477"/>
      <c r="C49" s="680"/>
      <c r="D49" s="680"/>
      <c r="E49" s="681"/>
      <c r="F49" s="6"/>
      <c r="G49" s="534" t="s">
        <v>196</v>
      </c>
      <c r="H49" s="477"/>
      <c r="I49" s="680"/>
      <c r="J49" s="680"/>
      <c r="K49" s="681"/>
      <c r="L49" s="6"/>
      <c r="M49" s="534" t="s">
        <v>196</v>
      </c>
      <c r="N49" s="477"/>
      <c r="O49" s="680"/>
      <c r="P49" s="680"/>
      <c r="Q49" s="681"/>
    </row>
    <row r="50" spans="1:17" ht="12" customHeight="1" x14ac:dyDescent="0.25">
      <c r="A50" s="534" t="s">
        <v>197</v>
      </c>
      <c r="B50" s="477"/>
      <c r="C50" s="680"/>
      <c r="D50" s="680"/>
      <c r="E50" s="681"/>
      <c r="F50" s="6"/>
      <c r="G50" s="534" t="s">
        <v>197</v>
      </c>
      <c r="H50" s="477"/>
      <c r="I50" s="680"/>
      <c r="J50" s="680"/>
      <c r="K50" s="681"/>
      <c r="L50" s="6"/>
      <c r="M50" s="534" t="s">
        <v>197</v>
      </c>
      <c r="N50" s="477"/>
      <c r="O50" s="680"/>
      <c r="P50" s="680"/>
      <c r="Q50" s="681"/>
    </row>
    <row r="51" spans="1:17" ht="12" customHeight="1" x14ac:dyDescent="0.25">
      <c r="A51" s="534" t="s">
        <v>198</v>
      </c>
      <c r="B51" s="477"/>
      <c r="C51" s="680"/>
      <c r="D51" s="680"/>
      <c r="E51" s="681"/>
      <c r="F51" s="6"/>
      <c r="G51" s="534" t="s">
        <v>198</v>
      </c>
      <c r="H51" s="477"/>
      <c r="I51" s="680"/>
      <c r="J51" s="680"/>
      <c r="K51" s="681"/>
      <c r="L51" s="6"/>
      <c r="M51" s="534" t="s">
        <v>198</v>
      </c>
      <c r="N51" s="477"/>
      <c r="O51" s="680"/>
      <c r="P51" s="680"/>
      <c r="Q51" s="681"/>
    </row>
    <row r="52" spans="1:17" ht="12" customHeight="1" x14ac:dyDescent="0.25">
      <c r="A52" s="534" t="s">
        <v>199</v>
      </c>
      <c r="B52" s="477"/>
      <c r="C52" s="680"/>
      <c r="D52" s="680"/>
      <c r="E52" s="681"/>
      <c r="F52" s="6"/>
      <c r="G52" s="534" t="s">
        <v>199</v>
      </c>
      <c r="H52" s="477"/>
      <c r="I52" s="680"/>
      <c r="J52" s="680"/>
      <c r="K52" s="681"/>
      <c r="L52" s="6"/>
      <c r="M52" s="534" t="s">
        <v>199</v>
      </c>
      <c r="N52" s="477"/>
      <c r="O52" s="680"/>
      <c r="P52" s="680"/>
      <c r="Q52" s="681"/>
    </row>
    <row r="53" spans="1:17" ht="12" customHeight="1" x14ac:dyDescent="0.25">
      <c r="A53" s="534" t="s">
        <v>200</v>
      </c>
      <c r="B53" s="477"/>
      <c r="C53" s="680"/>
      <c r="D53" s="680"/>
      <c r="E53" s="681"/>
      <c r="F53" s="6"/>
      <c r="G53" s="534" t="s">
        <v>200</v>
      </c>
      <c r="H53" s="477"/>
      <c r="I53" s="680"/>
      <c r="J53" s="680"/>
      <c r="K53" s="681"/>
      <c r="L53" s="6"/>
      <c r="M53" s="534" t="s">
        <v>200</v>
      </c>
      <c r="N53" s="477"/>
      <c r="O53" s="680"/>
      <c r="P53" s="680"/>
      <c r="Q53" s="681"/>
    </row>
    <row r="54" spans="1:17" ht="12" customHeight="1" thickBot="1" x14ac:dyDescent="0.3">
      <c r="A54" s="125" t="s">
        <v>121</v>
      </c>
      <c r="B54" s="694"/>
      <c r="C54" s="694"/>
      <c r="D54" s="694"/>
      <c r="E54" s="695"/>
      <c r="F54" s="6"/>
      <c r="G54" s="125" t="s">
        <v>121</v>
      </c>
      <c r="H54" s="694"/>
      <c r="I54" s="694"/>
      <c r="J54" s="694"/>
      <c r="K54" s="695"/>
      <c r="L54" s="6"/>
      <c r="M54" s="125" t="s">
        <v>121</v>
      </c>
      <c r="N54" s="694"/>
      <c r="O54" s="694"/>
      <c r="P54" s="694"/>
      <c r="Q54" s="695"/>
    </row>
    <row r="55" spans="1:17" s="8" customFormat="1" ht="3.75" customHeight="1" thickBot="1" x14ac:dyDescent="0.3">
      <c r="A55" s="6"/>
      <c r="B55" s="6"/>
      <c r="C55" s="6"/>
      <c r="D55" s="6"/>
      <c r="E55" s="6"/>
      <c r="F55" s="6"/>
      <c r="G55" s="6"/>
      <c r="H55" s="6"/>
      <c r="I55" s="6"/>
      <c r="J55" s="6"/>
      <c r="K55" s="6"/>
      <c r="L55" s="6"/>
      <c r="M55" s="6"/>
      <c r="N55" s="6"/>
      <c r="O55" s="6"/>
      <c r="P55" s="6"/>
      <c r="Q55" s="6"/>
    </row>
    <row r="56" spans="1:17" ht="12" customHeight="1" x14ac:dyDescent="0.25">
      <c r="A56" s="682" t="s">
        <v>20</v>
      </c>
      <c r="B56" s="683"/>
      <c r="C56" s="684"/>
      <c r="D56" s="684"/>
      <c r="E56" s="685"/>
      <c r="F56" s="6"/>
      <c r="G56" s="682" t="s">
        <v>20</v>
      </c>
      <c r="H56" s="683"/>
      <c r="I56" s="684"/>
      <c r="J56" s="684"/>
      <c r="K56" s="685"/>
      <c r="L56" s="6"/>
      <c r="M56" s="682" t="s">
        <v>20</v>
      </c>
      <c r="N56" s="683"/>
      <c r="O56" s="684"/>
      <c r="P56" s="684"/>
      <c r="Q56" s="685"/>
    </row>
    <row r="57" spans="1:17" ht="12" customHeight="1" x14ac:dyDescent="0.25">
      <c r="A57" s="534" t="s">
        <v>196</v>
      </c>
      <c r="B57" s="477"/>
      <c r="C57" s="680"/>
      <c r="D57" s="680"/>
      <c r="E57" s="681"/>
      <c r="F57" s="6"/>
      <c r="G57" s="534" t="s">
        <v>196</v>
      </c>
      <c r="H57" s="477"/>
      <c r="I57" s="680"/>
      <c r="J57" s="680"/>
      <c r="K57" s="681"/>
      <c r="L57" s="6"/>
      <c r="M57" s="534" t="s">
        <v>196</v>
      </c>
      <c r="N57" s="477"/>
      <c r="O57" s="680"/>
      <c r="P57" s="680"/>
      <c r="Q57" s="681"/>
    </row>
    <row r="58" spans="1:17" ht="12" customHeight="1" x14ac:dyDescent="0.25">
      <c r="A58" s="534" t="s">
        <v>197</v>
      </c>
      <c r="B58" s="477"/>
      <c r="C58" s="680"/>
      <c r="D58" s="680"/>
      <c r="E58" s="681"/>
      <c r="F58" s="6"/>
      <c r="G58" s="534" t="s">
        <v>197</v>
      </c>
      <c r="H58" s="477"/>
      <c r="I58" s="680"/>
      <c r="J58" s="680"/>
      <c r="K58" s="681"/>
      <c r="L58" s="6"/>
      <c r="M58" s="534" t="s">
        <v>197</v>
      </c>
      <c r="N58" s="477"/>
      <c r="O58" s="680"/>
      <c r="P58" s="680"/>
      <c r="Q58" s="681"/>
    </row>
    <row r="59" spans="1:17" ht="12" customHeight="1" x14ac:dyDescent="0.25">
      <c r="A59" s="534" t="s">
        <v>198</v>
      </c>
      <c r="B59" s="477"/>
      <c r="C59" s="680"/>
      <c r="D59" s="680"/>
      <c r="E59" s="681"/>
      <c r="F59" s="6"/>
      <c r="G59" s="534" t="s">
        <v>198</v>
      </c>
      <c r="H59" s="477"/>
      <c r="I59" s="680"/>
      <c r="J59" s="680"/>
      <c r="K59" s="681"/>
      <c r="L59" s="6"/>
      <c r="M59" s="534" t="s">
        <v>198</v>
      </c>
      <c r="N59" s="477"/>
      <c r="O59" s="680"/>
      <c r="P59" s="680"/>
      <c r="Q59" s="681"/>
    </row>
    <row r="60" spans="1:17" ht="12" customHeight="1" x14ac:dyDescent="0.25">
      <c r="A60" s="534" t="s">
        <v>199</v>
      </c>
      <c r="B60" s="477"/>
      <c r="C60" s="680"/>
      <c r="D60" s="680"/>
      <c r="E60" s="681"/>
      <c r="F60" s="6"/>
      <c r="G60" s="534" t="s">
        <v>199</v>
      </c>
      <c r="H60" s="477"/>
      <c r="I60" s="680"/>
      <c r="J60" s="680"/>
      <c r="K60" s="681"/>
      <c r="L60" s="6"/>
      <c r="M60" s="534" t="s">
        <v>199</v>
      </c>
      <c r="N60" s="477"/>
      <c r="O60" s="680"/>
      <c r="P60" s="680"/>
      <c r="Q60" s="681"/>
    </row>
    <row r="61" spans="1:17" ht="12" customHeight="1" x14ac:dyDescent="0.25">
      <c r="A61" s="534" t="s">
        <v>200</v>
      </c>
      <c r="B61" s="477"/>
      <c r="C61" s="680"/>
      <c r="D61" s="680"/>
      <c r="E61" s="681"/>
      <c r="F61" s="6"/>
      <c r="G61" s="534" t="s">
        <v>200</v>
      </c>
      <c r="H61" s="477"/>
      <c r="I61" s="680"/>
      <c r="J61" s="680"/>
      <c r="K61" s="681"/>
      <c r="L61" s="6"/>
      <c r="M61" s="534" t="s">
        <v>200</v>
      </c>
      <c r="N61" s="477"/>
      <c r="O61" s="680"/>
      <c r="P61" s="680"/>
      <c r="Q61" s="681"/>
    </row>
    <row r="62" spans="1:17" ht="12" customHeight="1" thickBot="1" x14ac:dyDescent="0.3">
      <c r="A62" s="125" t="s">
        <v>121</v>
      </c>
      <c r="B62" s="694"/>
      <c r="C62" s="694"/>
      <c r="D62" s="694"/>
      <c r="E62" s="695"/>
      <c r="F62" s="6"/>
      <c r="G62" s="125" t="s">
        <v>121</v>
      </c>
      <c r="H62" s="694"/>
      <c r="I62" s="694"/>
      <c r="J62" s="694"/>
      <c r="K62" s="695"/>
      <c r="L62" s="6"/>
      <c r="M62" s="125" t="s">
        <v>121</v>
      </c>
      <c r="N62" s="694"/>
      <c r="O62" s="694"/>
      <c r="P62" s="694"/>
      <c r="Q62" s="695"/>
    </row>
    <row r="63" spans="1:17" ht="3.75" customHeight="1" thickBot="1" x14ac:dyDescent="0.3">
      <c r="A63" s="10"/>
      <c r="B63" s="33"/>
      <c r="C63" s="33"/>
      <c r="D63" s="33"/>
      <c r="E63" s="33"/>
      <c r="F63" s="33"/>
      <c r="G63" s="10"/>
      <c r="H63" s="33"/>
      <c r="I63" s="33"/>
      <c r="J63" s="33"/>
      <c r="K63" s="33"/>
      <c r="L63" s="33"/>
      <c r="M63" s="10"/>
      <c r="N63" s="33"/>
      <c r="O63" s="33"/>
      <c r="P63" s="33"/>
      <c r="Q63" s="33"/>
    </row>
    <row r="64" spans="1:17" s="1" customFormat="1" ht="18.75" customHeight="1" thickBot="1" x14ac:dyDescent="0.35">
      <c r="A64" s="686" t="s">
        <v>16</v>
      </c>
      <c r="B64" s="687"/>
      <c r="C64" s="687"/>
      <c r="D64" s="687"/>
      <c r="E64" s="687"/>
      <c r="F64" s="687"/>
      <c r="G64" s="687"/>
      <c r="H64" s="687"/>
      <c r="I64" s="687"/>
      <c r="J64" s="687"/>
      <c r="K64" s="687"/>
      <c r="L64" s="687"/>
      <c r="M64" s="687"/>
      <c r="N64" s="687"/>
      <c r="O64" s="687"/>
      <c r="P64" s="687"/>
      <c r="Q64" s="688"/>
    </row>
    <row r="65" spans="1:17" s="1" customFormat="1" ht="3.75" customHeight="1" thickBot="1" x14ac:dyDescent="0.3">
      <c r="A65" s="10"/>
      <c r="B65" s="33"/>
      <c r="C65" s="33"/>
      <c r="D65" s="33"/>
      <c r="E65" s="33"/>
      <c r="F65" s="33"/>
      <c r="G65" s="10"/>
      <c r="H65" s="33"/>
      <c r="I65" s="33"/>
      <c r="J65" s="33"/>
      <c r="K65" s="33"/>
      <c r="L65" s="33"/>
      <c r="M65" s="10"/>
      <c r="N65" s="33"/>
      <c r="O65" s="33"/>
      <c r="P65" s="33"/>
      <c r="Q65" s="33"/>
    </row>
    <row r="66" spans="1:17" s="1" customFormat="1" ht="15.75" thickBot="1" x14ac:dyDescent="0.3">
      <c r="A66" s="526" t="s">
        <v>195</v>
      </c>
      <c r="B66" s="693"/>
      <c r="C66" s="693"/>
      <c r="D66" s="693"/>
      <c r="E66" s="693"/>
      <c r="F66" s="693"/>
      <c r="G66" s="693"/>
      <c r="H66" s="693"/>
      <c r="I66" s="693"/>
      <c r="J66" s="693"/>
      <c r="K66" s="693"/>
      <c r="L66" s="693"/>
      <c r="M66" s="693"/>
      <c r="N66" s="693"/>
      <c r="O66" s="693"/>
      <c r="P66" s="693"/>
      <c r="Q66" s="527"/>
    </row>
    <row r="67" spans="1:17" s="1" customFormat="1" ht="3.75" customHeight="1" thickBot="1" x14ac:dyDescent="0.3">
      <c r="A67" s="10"/>
      <c r="B67" s="33"/>
      <c r="C67" s="33"/>
      <c r="D67" s="33"/>
      <c r="E67" s="33"/>
      <c r="F67" s="33"/>
      <c r="G67" s="10"/>
      <c r="H67" s="33"/>
      <c r="I67" s="33"/>
      <c r="J67" s="33"/>
      <c r="K67" s="33"/>
      <c r="L67" s="33"/>
      <c r="M67" s="10"/>
      <c r="N67" s="33"/>
      <c r="O67" s="33"/>
      <c r="P67" s="33"/>
      <c r="Q67" s="33"/>
    </row>
    <row r="68" spans="1:17" ht="12.75" customHeight="1" x14ac:dyDescent="0.25">
      <c r="A68" s="682" t="s">
        <v>20</v>
      </c>
      <c r="B68" s="683"/>
      <c r="C68" s="684"/>
      <c r="D68" s="684"/>
      <c r="E68" s="685"/>
      <c r="F68" s="6"/>
      <c r="G68" s="682" t="s">
        <v>20</v>
      </c>
      <c r="H68" s="683"/>
      <c r="I68" s="684"/>
      <c r="J68" s="684"/>
      <c r="K68" s="685"/>
      <c r="L68" s="6"/>
      <c r="M68" s="682" t="s">
        <v>20</v>
      </c>
      <c r="N68" s="683"/>
      <c r="O68" s="684"/>
      <c r="P68" s="684"/>
      <c r="Q68" s="685"/>
    </row>
    <row r="69" spans="1:17" ht="12.75" customHeight="1" x14ac:dyDescent="0.25">
      <c r="A69" s="534" t="s">
        <v>196</v>
      </c>
      <c r="B69" s="477"/>
      <c r="C69" s="680"/>
      <c r="D69" s="680"/>
      <c r="E69" s="681"/>
      <c r="F69" s="6"/>
      <c r="G69" s="534" t="s">
        <v>196</v>
      </c>
      <c r="H69" s="477"/>
      <c r="I69" s="680"/>
      <c r="J69" s="680"/>
      <c r="K69" s="681"/>
      <c r="L69" s="6"/>
      <c r="M69" s="534" t="s">
        <v>196</v>
      </c>
      <c r="N69" s="477"/>
      <c r="O69" s="680"/>
      <c r="P69" s="680"/>
      <c r="Q69" s="681"/>
    </row>
    <row r="70" spans="1:17" ht="12.75" customHeight="1" x14ac:dyDescent="0.25">
      <c r="A70" s="534" t="s">
        <v>197</v>
      </c>
      <c r="B70" s="477"/>
      <c r="C70" s="680"/>
      <c r="D70" s="680"/>
      <c r="E70" s="681"/>
      <c r="F70" s="6"/>
      <c r="G70" s="534" t="s">
        <v>197</v>
      </c>
      <c r="H70" s="477"/>
      <c r="I70" s="680"/>
      <c r="J70" s="680"/>
      <c r="K70" s="681"/>
      <c r="L70" s="6"/>
      <c r="M70" s="534" t="s">
        <v>197</v>
      </c>
      <c r="N70" s="477"/>
      <c r="O70" s="680"/>
      <c r="P70" s="680"/>
      <c r="Q70" s="681"/>
    </row>
    <row r="71" spans="1:17" ht="12.75" customHeight="1" x14ac:dyDescent="0.25">
      <c r="A71" s="534" t="s">
        <v>198</v>
      </c>
      <c r="B71" s="477"/>
      <c r="C71" s="680"/>
      <c r="D71" s="680"/>
      <c r="E71" s="681"/>
      <c r="F71" s="6"/>
      <c r="G71" s="534" t="s">
        <v>198</v>
      </c>
      <c r="H71" s="477"/>
      <c r="I71" s="680"/>
      <c r="J71" s="680"/>
      <c r="K71" s="681"/>
      <c r="L71" s="6"/>
      <c r="M71" s="534" t="s">
        <v>198</v>
      </c>
      <c r="N71" s="477"/>
      <c r="O71" s="680"/>
      <c r="P71" s="680"/>
      <c r="Q71" s="681"/>
    </row>
    <row r="72" spans="1:17" ht="12.75" customHeight="1" x14ac:dyDescent="0.25">
      <c r="A72" s="534" t="s">
        <v>199</v>
      </c>
      <c r="B72" s="477"/>
      <c r="C72" s="680"/>
      <c r="D72" s="680"/>
      <c r="E72" s="681"/>
      <c r="F72" s="6"/>
      <c r="G72" s="534" t="s">
        <v>199</v>
      </c>
      <c r="H72" s="477"/>
      <c r="I72" s="680"/>
      <c r="J72" s="680"/>
      <c r="K72" s="681"/>
      <c r="L72" s="6"/>
      <c r="M72" s="534" t="s">
        <v>199</v>
      </c>
      <c r="N72" s="477"/>
      <c r="O72" s="680"/>
      <c r="P72" s="680"/>
      <c r="Q72" s="681"/>
    </row>
    <row r="73" spans="1:17" ht="12.75" customHeight="1" x14ac:dyDescent="0.25">
      <c r="A73" s="534" t="s">
        <v>200</v>
      </c>
      <c r="B73" s="477"/>
      <c r="C73" s="680"/>
      <c r="D73" s="680"/>
      <c r="E73" s="681"/>
      <c r="F73" s="6"/>
      <c r="G73" s="534" t="s">
        <v>200</v>
      </c>
      <c r="H73" s="477"/>
      <c r="I73" s="680"/>
      <c r="J73" s="680"/>
      <c r="K73" s="681"/>
      <c r="L73" s="6"/>
      <c r="M73" s="534" t="s">
        <v>200</v>
      </c>
      <c r="N73" s="477"/>
      <c r="O73" s="680"/>
      <c r="P73" s="680"/>
      <c r="Q73" s="681"/>
    </row>
    <row r="74" spans="1:17" ht="12.75" customHeight="1" thickBot="1" x14ac:dyDescent="0.3">
      <c r="A74" s="125" t="s">
        <v>121</v>
      </c>
      <c r="B74" s="694"/>
      <c r="C74" s="694"/>
      <c r="D74" s="694"/>
      <c r="E74" s="695"/>
      <c r="F74" s="6"/>
      <c r="G74" s="125" t="s">
        <v>121</v>
      </c>
      <c r="H74" s="694"/>
      <c r="I74" s="694"/>
      <c r="J74" s="694"/>
      <c r="K74" s="695"/>
      <c r="L74" s="6"/>
      <c r="M74" s="125" t="s">
        <v>121</v>
      </c>
      <c r="N74" s="694"/>
      <c r="O74" s="694"/>
      <c r="P74" s="694"/>
      <c r="Q74" s="695"/>
    </row>
    <row r="75" spans="1:17" ht="3.75" customHeight="1" thickBot="1" x14ac:dyDescent="0.3">
      <c r="A75" s="6"/>
      <c r="B75" s="6"/>
      <c r="C75" s="6"/>
      <c r="D75" s="6"/>
      <c r="E75" s="6"/>
      <c r="F75" s="6"/>
      <c r="G75" s="6"/>
      <c r="H75" s="6"/>
      <c r="I75" s="6"/>
      <c r="J75" s="6"/>
      <c r="K75" s="6"/>
      <c r="L75" s="6"/>
      <c r="M75" s="6"/>
      <c r="N75" s="6"/>
      <c r="O75" s="6"/>
      <c r="P75" s="6"/>
      <c r="Q75" s="6"/>
    </row>
    <row r="76" spans="1:17" ht="12.75" customHeight="1" x14ac:dyDescent="0.25">
      <c r="A76" s="682" t="s">
        <v>20</v>
      </c>
      <c r="B76" s="683"/>
      <c r="C76" s="684"/>
      <c r="D76" s="684"/>
      <c r="E76" s="685"/>
      <c r="F76" s="6"/>
      <c r="G76" s="682" t="s">
        <v>20</v>
      </c>
      <c r="H76" s="683"/>
      <c r="I76" s="684"/>
      <c r="J76" s="684"/>
      <c r="K76" s="685"/>
      <c r="L76" s="6"/>
      <c r="M76" s="682" t="s">
        <v>20</v>
      </c>
      <c r="N76" s="683"/>
      <c r="O76" s="684"/>
      <c r="P76" s="684"/>
      <c r="Q76" s="685"/>
    </row>
    <row r="77" spans="1:17" ht="12.75" customHeight="1" x14ac:dyDescent="0.25">
      <c r="A77" s="534" t="s">
        <v>196</v>
      </c>
      <c r="B77" s="477"/>
      <c r="C77" s="680"/>
      <c r="D77" s="680"/>
      <c r="E77" s="681"/>
      <c r="F77" s="6"/>
      <c r="G77" s="534" t="s">
        <v>196</v>
      </c>
      <c r="H77" s="477"/>
      <c r="I77" s="680"/>
      <c r="J77" s="680"/>
      <c r="K77" s="681"/>
      <c r="L77" s="6"/>
      <c r="M77" s="534" t="s">
        <v>196</v>
      </c>
      <c r="N77" s="477"/>
      <c r="O77" s="680"/>
      <c r="P77" s="680"/>
      <c r="Q77" s="681"/>
    </row>
    <row r="78" spans="1:17" ht="12.75" customHeight="1" x14ac:dyDescent="0.25">
      <c r="A78" s="534" t="s">
        <v>197</v>
      </c>
      <c r="B78" s="477"/>
      <c r="C78" s="680"/>
      <c r="D78" s="680"/>
      <c r="E78" s="681"/>
      <c r="F78" s="6"/>
      <c r="G78" s="534" t="s">
        <v>197</v>
      </c>
      <c r="H78" s="477"/>
      <c r="I78" s="680"/>
      <c r="J78" s="680"/>
      <c r="K78" s="681"/>
      <c r="L78" s="6"/>
      <c r="M78" s="534" t="s">
        <v>197</v>
      </c>
      <c r="N78" s="477"/>
      <c r="O78" s="680"/>
      <c r="P78" s="680"/>
      <c r="Q78" s="681"/>
    </row>
    <row r="79" spans="1:17" ht="12.75" customHeight="1" x14ac:dyDescent="0.25">
      <c r="A79" s="534" t="s">
        <v>198</v>
      </c>
      <c r="B79" s="477"/>
      <c r="C79" s="680"/>
      <c r="D79" s="680"/>
      <c r="E79" s="681"/>
      <c r="F79" s="6"/>
      <c r="G79" s="534" t="s">
        <v>198</v>
      </c>
      <c r="H79" s="477"/>
      <c r="I79" s="680"/>
      <c r="J79" s="680"/>
      <c r="K79" s="681"/>
      <c r="L79" s="6"/>
      <c r="M79" s="534" t="s">
        <v>198</v>
      </c>
      <c r="N79" s="477"/>
      <c r="O79" s="680"/>
      <c r="P79" s="680"/>
      <c r="Q79" s="681"/>
    </row>
    <row r="80" spans="1:17" ht="12.75" customHeight="1" x14ac:dyDescent="0.25">
      <c r="A80" s="534" t="s">
        <v>199</v>
      </c>
      <c r="B80" s="477"/>
      <c r="C80" s="680"/>
      <c r="D80" s="680"/>
      <c r="E80" s="681"/>
      <c r="F80" s="6"/>
      <c r="G80" s="534" t="s">
        <v>199</v>
      </c>
      <c r="H80" s="477"/>
      <c r="I80" s="680"/>
      <c r="J80" s="680"/>
      <c r="K80" s="681"/>
      <c r="L80" s="6"/>
      <c r="M80" s="534" t="s">
        <v>199</v>
      </c>
      <c r="N80" s="477"/>
      <c r="O80" s="680"/>
      <c r="P80" s="680"/>
      <c r="Q80" s="681"/>
    </row>
    <row r="81" spans="1:17" ht="12.75" customHeight="1" x14ac:dyDescent="0.25">
      <c r="A81" s="534" t="s">
        <v>200</v>
      </c>
      <c r="B81" s="477"/>
      <c r="C81" s="680"/>
      <c r="D81" s="680"/>
      <c r="E81" s="681"/>
      <c r="F81" s="6"/>
      <c r="G81" s="534" t="s">
        <v>200</v>
      </c>
      <c r="H81" s="477"/>
      <c r="I81" s="680"/>
      <c r="J81" s="680"/>
      <c r="K81" s="681"/>
      <c r="L81" s="6"/>
      <c r="M81" s="534" t="s">
        <v>200</v>
      </c>
      <c r="N81" s="477"/>
      <c r="O81" s="680"/>
      <c r="P81" s="680"/>
      <c r="Q81" s="681"/>
    </row>
    <row r="82" spans="1:17" ht="12.75" customHeight="1" thickBot="1" x14ac:dyDescent="0.3">
      <c r="A82" s="125" t="s">
        <v>121</v>
      </c>
      <c r="B82" s="694"/>
      <c r="C82" s="694"/>
      <c r="D82" s="694"/>
      <c r="E82" s="695"/>
      <c r="F82" s="6"/>
      <c r="G82" s="125" t="s">
        <v>121</v>
      </c>
      <c r="H82" s="694"/>
      <c r="I82" s="694"/>
      <c r="J82" s="694"/>
      <c r="K82" s="695"/>
      <c r="L82" s="6"/>
      <c r="M82" s="125" t="s">
        <v>121</v>
      </c>
      <c r="N82" s="694"/>
      <c r="O82" s="694"/>
      <c r="P82" s="694"/>
      <c r="Q82" s="695"/>
    </row>
    <row r="83" spans="1:17" ht="3.75" customHeight="1" thickBot="1" x14ac:dyDescent="0.3">
      <c r="A83" s="6"/>
      <c r="B83" s="6"/>
      <c r="C83" s="6"/>
      <c r="D83" s="6"/>
      <c r="E83" s="6"/>
      <c r="F83" s="6"/>
      <c r="G83" s="6"/>
      <c r="H83" s="6"/>
      <c r="I83" s="6"/>
      <c r="J83" s="6"/>
      <c r="K83" s="6"/>
      <c r="L83" s="6"/>
      <c r="M83" s="6"/>
      <c r="N83" s="6"/>
      <c r="O83" s="6"/>
      <c r="P83" s="6"/>
      <c r="Q83" s="6"/>
    </row>
    <row r="84" spans="1:17" ht="12.75" customHeight="1" x14ac:dyDescent="0.25">
      <c r="A84" s="682" t="s">
        <v>20</v>
      </c>
      <c r="B84" s="683"/>
      <c r="C84" s="684"/>
      <c r="D84" s="684"/>
      <c r="E84" s="685"/>
      <c r="F84" s="6"/>
      <c r="G84" s="682" t="s">
        <v>20</v>
      </c>
      <c r="H84" s="683"/>
      <c r="I84" s="684"/>
      <c r="J84" s="684"/>
      <c r="K84" s="685"/>
      <c r="L84" s="6"/>
      <c r="M84" s="682" t="s">
        <v>20</v>
      </c>
      <c r="N84" s="683"/>
      <c r="O84" s="684"/>
      <c r="P84" s="684"/>
      <c r="Q84" s="685"/>
    </row>
    <row r="85" spans="1:17" ht="12.75" customHeight="1" x14ac:dyDescent="0.25">
      <c r="A85" s="534" t="s">
        <v>196</v>
      </c>
      <c r="B85" s="477"/>
      <c r="C85" s="680"/>
      <c r="D85" s="680"/>
      <c r="E85" s="681"/>
      <c r="F85" s="6"/>
      <c r="G85" s="534" t="s">
        <v>196</v>
      </c>
      <c r="H85" s="477"/>
      <c r="I85" s="680"/>
      <c r="J85" s="680"/>
      <c r="K85" s="681"/>
      <c r="L85" s="6"/>
      <c r="M85" s="534" t="s">
        <v>196</v>
      </c>
      <c r="N85" s="477"/>
      <c r="O85" s="680"/>
      <c r="P85" s="680"/>
      <c r="Q85" s="681"/>
    </row>
    <row r="86" spans="1:17" ht="12.75" customHeight="1" x14ac:dyDescent="0.25">
      <c r="A86" s="534" t="s">
        <v>197</v>
      </c>
      <c r="B86" s="477"/>
      <c r="C86" s="680"/>
      <c r="D86" s="680"/>
      <c r="E86" s="681"/>
      <c r="F86" s="6"/>
      <c r="G86" s="534" t="s">
        <v>197</v>
      </c>
      <c r="H86" s="477"/>
      <c r="I86" s="680"/>
      <c r="J86" s="680"/>
      <c r="K86" s="681"/>
      <c r="L86" s="6"/>
      <c r="M86" s="534" t="s">
        <v>197</v>
      </c>
      <c r="N86" s="477"/>
      <c r="O86" s="680"/>
      <c r="P86" s="680"/>
      <c r="Q86" s="681"/>
    </row>
    <row r="87" spans="1:17" ht="12.75" customHeight="1" x14ac:dyDescent="0.25">
      <c r="A87" s="534" t="s">
        <v>198</v>
      </c>
      <c r="B87" s="477"/>
      <c r="C87" s="680"/>
      <c r="D87" s="680"/>
      <c r="E87" s="681"/>
      <c r="F87" s="6"/>
      <c r="G87" s="534" t="s">
        <v>198</v>
      </c>
      <c r="H87" s="477"/>
      <c r="I87" s="680"/>
      <c r="J87" s="680"/>
      <c r="K87" s="681"/>
      <c r="L87" s="6"/>
      <c r="M87" s="534" t="s">
        <v>198</v>
      </c>
      <c r="N87" s="477"/>
      <c r="O87" s="680"/>
      <c r="P87" s="680"/>
      <c r="Q87" s="681"/>
    </row>
    <row r="88" spans="1:17" ht="12.75" customHeight="1" x14ac:dyDescent="0.25">
      <c r="A88" s="534" t="s">
        <v>199</v>
      </c>
      <c r="B88" s="477"/>
      <c r="C88" s="680"/>
      <c r="D88" s="680"/>
      <c r="E88" s="681"/>
      <c r="F88" s="6"/>
      <c r="G88" s="534" t="s">
        <v>199</v>
      </c>
      <c r="H88" s="477"/>
      <c r="I88" s="680"/>
      <c r="J88" s="680"/>
      <c r="K88" s="681"/>
      <c r="L88" s="6"/>
      <c r="M88" s="534" t="s">
        <v>199</v>
      </c>
      <c r="N88" s="477"/>
      <c r="O88" s="680"/>
      <c r="P88" s="680"/>
      <c r="Q88" s="681"/>
    </row>
    <row r="89" spans="1:17" ht="12.75" customHeight="1" x14ac:dyDescent="0.25">
      <c r="A89" s="534" t="s">
        <v>200</v>
      </c>
      <c r="B89" s="477"/>
      <c r="C89" s="680"/>
      <c r="D89" s="680"/>
      <c r="E89" s="681"/>
      <c r="F89" s="6"/>
      <c r="G89" s="534" t="s">
        <v>200</v>
      </c>
      <c r="H89" s="477"/>
      <c r="I89" s="680"/>
      <c r="J89" s="680"/>
      <c r="K89" s="681"/>
      <c r="L89" s="6"/>
      <c r="M89" s="534" t="s">
        <v>200</v>
      </c>
      <c r="N89" s="477"/>
      <c r="O89" s="680"/>
      <c r="P89" s="680"/>
      <c r="Q89" s="681"/>
    </row>
    <row r="90" spans="1:17" ht="12.75" customHeight="1" thickBot="1" x14ac:dyDescent="0.3">
      <c r="A90" s="125" t="s">
        <v>121</v>
      </c>
      <c r="B90" s="694"/>
      <c r="C90" s="694"/>
      <c r="D90" s="694"/>
      <c r="E90" s="695"/>
      <c r="F90" s="6"/>
      <c r="G90" s="125" t="s">
        <v>121</v>
      </c>
      <c r="H90" s="694"/>
      <c r="I90" s="694"/>
      <c r="J90" s="694"/>
      <c r="K90" s="695"/>
      <c r="L90" s="6"/>
      <c r="M90" s="125" t="s">
        <v>121</v>
      </c>
      <c r="N90" s="694"/>
      <c r="O90" s="694"/>
      <c r="P90" s="694"/>
      <c r="Q90" s="695"/>
    </row>
    <row r="91" spans="1:17" ht="3.75" customHeight="1" thickBot="1" x14ac:dyDescent="0.3">
      <c r="A91" s="6"/>
      <c r="B91" s="6"/>
      <c r="C91" s="6"/>
      <c r="D91" s="6"/>
      <c r="E91" s="6"/>
      <c r="F91" s="6"/>
      <c r="G91" s="6"/>
      <c r="H91" s="6"/>
      <c r="I91" s="6"/>
      <c r="J91" s="6"/>
      <c r="K91" s="6"/>
      <c r="L91" s="6"/>
      <c r="M91" s="6"/>
      <c r="N91" s="6"/>
      <c r="O91" s="6"/>
      <c r="P91" s="6"/>
      <c r="Q91" s="6"/>
    </row>
    <row r="92" spans="1:17" ht="12.75" customHeight="1" x14ac:dyDescent="0.25">
      <c r="A92" s="682" t="s">
        <v>20</v>
      </c>
      <c r="B92" s="683"/>
      <c r="C92" s="684"/>
      <c r="D92" s="684"/>
      <c r="E92" s="685"/>
      <c r="F92" s="6"/>
      <c r="G92" s="682" t="s">
        <v>20</v>
      </c>
      <c r="H92" s="683"/>
      <c r="I92" s="684"/>
      <c r="J92" s="684"/>
      <c r="K92" s="685"/>
      <c r="L92" s="6"/>
      <c r="M92" s="682" t="s">
        <v>20</v>
      </c>
      <c r="N92" s="683"/>
      <c r="O92" s="684"/>
      <c r="P92" s="684"/>
      <c r="Q92" s="685"/>
    </row>
    <row r="93" spans="1:17" ht="12.75" customHeight="1" x14ac:dyDescent="0.25">
      <c r="A93" s="534" t="s">
        <v>196</v>
      </c>
      <c r="B93" s="477"/>
      <c r="C93" s="680"/>
      <c r="D93" s="680"/>
      <c r="E93" s="681"/>
      <c r="F93" s="6"/>
      <c r="G93" s="534" t="s">
        <v>196</v>
      </c>
      <c r="H93" s="477"/>
      <c r="I93" s="680"/>
      <c r="J93" s="680"/>
      <c r="K93" s="681"/>
      <c r="L93" s="6"/>
      <c r="M93" s="534" t="s">
        <v>196</v>
      </c>
      <c r="N93" s="477"/>
      <c r="O93" s="680"/>
      <c r="P93" s="680"/>
      <c r="Q93" s="681"/>
    </row>
    <row r="94" spans="1:17" ht="12.75" customHeight="1" x14ac:dyDescent="0.25">
      <c r="A94" s="534" t="s">
        <v>197</v>
      </c>
      <c r="B94" s="477"/>
      <c r="C94" s="680"/>
      <c r="D94" s="680"/>
      <c r="E94" s="681"/>
      <c r="F94" s="6"/>
      <c r="G94" s="534" t="s">
        <v>197</v>
      </c>
      <c r="H94" s="477"/>
      <c r="I94" s="680"/>
      <c r="J94" s="680"/>
      <c r="K94" s="681"/>
      <c r="L94" s="6"/>
      <c r="M94" s="534" t="s">
        <v>197</v>
      </c>
      <c r="N94" s="477"/>
      <c r="O94" s="680"/>
      <c r="P94" s="680"/>
      <c r="Q94" s="681"/>
    </row>
    <row r="95" spans="1:17" ht="12.75" customHeight="1" x14ac:dyDescent="0.25">
      <c r="A95" s="534" t="s">
        <v>198</v>
      </c>
      <c r="B95" s="477"/>
      <c r="C95" s="680"/>
      <c r="D95" s="680"/>
      <c r="E95" s="681"/>
      <c r="F95" s="6"/>
      <c r="G95" s="534" t="s">
        <v>198</v>
      </c>
      <c r="H95" s="477"/>
      <c r="I95" s="680"/>
      <c r="J95" s="680"/>
      <c r="K95" s="681"/>
      <c r="L95" s="6"/>
      <c r="M95" s="534" t="s">
        <v>198</v>
      </c>
      <c r="N95" s="477"/>
      <c r="O95" s="680"/>
      <c r="P95" s="680"/>
      <c r="Q95" s="681"/>
    </row>
    <row r="96" spans="1:17" ht="12.75" customHeight="1" x14ac:dyDescent="0.25">
      <c r="A96" s="534" t="s">
        <v>199</v>
      </c>
      <c r="B96" s="477"/>
      <c r="C96" s="680"/>
      <c r="D96" s="680"/>
      <c r="E96" s="681"/>
      <c r="F96" s="6"/>
      <c r="G96" s="534" t="s">
        <v>199</v>
      </c>
      <c r="H96" s="477"/>
      <c r="I96" s="680"/>
      <c r="J96" s="680"/>
      <c r="K96" s="681"/>
      <c r="L96" s="6"/>
      <c r="M96" s="534" t="s">
        <v>199</v>
      </c>
      <c r="N96" s="477"/>
      <c r="O96" s="680"/>
      <c r="P96" s="680"/>
      <c r="Q96" s="681"/>
    </row>
    <row r="97" spans="1:17" ht="12.75" customHeight="1" x14ac:dyDescent="0.25">
      <c r="A97" s="534" t="s">
        <v>200</v>
      </c>
      <c r="B97" s="477"/>
      <c r="C97" s="680"/>
      <c r="D97" s="680"/>
      <c r="E97" s="681"/>
      <c r="F97" s="6"/>
      <c r="G97" s="534" t="s">
        <v>200</v>
      </c>
      <c r="H97" s="477"/>
      <c r="I97" s="680"/>
      <c r="J97" s="680"/>
      <c r="K97" s="681"/>
      <c r="L97" s="6"/>
      <c r="M97" s="534" t="s">
        <v>200</v>
      </c>
      <c r="N97" s="477"/>
      <c r="O97" s="680"/>
      <c r="P97" s="680"/>
      <c r="Q97" s="681"/>
    </row>
    <row r="98" spans="1:17" ht="12.75" customHeight="1" thickBot="1" x14ac:dyDescent="0.3">
      <c r="A98" s="125" t="s">
        <v>121</v>
      </c>
      <c r="B98" s="694"/>
      <c r="C98" s="694"/>
      <c r="D98" s="694"/>
      <c r="E98" s="695"/>
      <c r="F98" s="6"/>
      <c r="G98" s="125" t="s">
        <v>121</v>
      </c>
      <c r="H98" s="694"/>
      <c r="I98" s="694"/>
      <c r="J98" s="694"/>
      <c r="K98" s="695"/>
      <c r="L98" s="6"/>
      <c r="M98" s="125" t="s">
        <v>121</v>
      </c>
      <c r="N98" s="694"/>
      <c r="O98" s="694"/>
      <c r="P98" s="694"/>
      <c r="Q98" s="695"/>
    </row>
    <row r="99" spans="1:17" ht="3.75" customHeight="1" thickBot="1" x14ac:dyDescent="0.3">
      <c r="A99" s="6"/>
      <c r="B99" s="6"/>
      <c r="C99" s="6"/>
      <c r="D99" s="6"/>
      <c r="E99" s="6"/>
      <c r="F99" s="6"/>
      <c r="G99" s="6"/>
      <c r="H99" s="6"/>
      <c r="I99" s="6"/>
      <c r="J99" s="6"/>
      <c r="K99" s="6"/>
      <c r="L99" s="6"/>
      <c r="M99" s="6"/>
      <c r="N99" s="6"/>
      <c r="O99" s="6"/>
      <c r="P99" s="6"/>
      <c r="Q99" s="6"/>
    </row>
    <row r="100" spans="1:17" ht="12.75" customHeight="1" x14ac:dyDescent="0.25">
      <c r="A100" s="682" t="s">
        <v>20</v>
      </c>
      <c r="B100" s="683"/>
      <c r="C100" s="684"/>
      <c r="D100" s="684"/>
      <c r="E100" s="685"/>
      <c r="F100" s="6"/>
      <c r="G100" s="682" t="s">
        <v>20</v>
      </c>
      <c r="H100" s="683"/>
      <c r="I100" s="684"/>
      <c r="J100" s="684"/>
      <c r="K100" s="685"/>
      <c r="L100" s="6"/>
      <c r="M100" s="682" t="s">
        <v>20</v>
      </c>
      <c r="N100" s="683"/>
      <c r="O100" s="684"/>
      <c r="P100" s="684"/>
      <c r="Q100" s="685"/>
    </row>
    <row r="101" spans="1:17" ht="12.75" customHeight="1" x14ac:dyDescent="0.25">
      <c r="A101" s="534" t="s">
        <v>196</v>
      </c>
      <c r="B101" s="477"/>
      <c r="C101" s="680"/>
      <c r="D101" s="680"/>
      <c r="E101" s="681"/>
      <c r="F101" s="6"/>
      <c r="G101" s="534" t="s">
        <v>196</v>
      </c>
      <c r="H101" s="477"/>
      <c r="I101" s="680"/>
      <c r="J101" s="680"/>
      <c r="K101" s="681"/>
      <c r="L101" s="6"/>
      <c r="M101" s="534" t="s">
        <v>196</v>
      </c>
      <c r="N101" s="477"/>
      <c r="O101" s="680"/>
      <c r="P101" s="680"/>
      <c r="Q101" s="681"/>
    </row>
    <row r="102" spans="1:17" ht="12.75" customHeight="1" x14ac:dyDescent="0.25">
      <c r="A102" s="534" t="s">
        <v>197</v>
      </c>
      <c r="B102" s="477"/>
      <c r="C102" s="680"/>
      <c r="D102" s="680"/>
      <c r="E102" s="681"/>
      <c r="F102" s="6"/>
      <c r="G102" s="534" t="s">
        <v>197</v>
      </c>
      <c r="H102" s="477"/>
      <c r="I102" s="680"/>
      <c r="J102" s="680"/>
      <c r="K102" s="681"/>
      <c r="L102" s="6"/>
      <c r="M102" s="534" t="s">
        <v>197</v>
      </c>
      <c r="N102" s="477"/>
      <c r="O102" s="680"/>
      <c r="P102" s="680"/>
      <c r="Q102" s="681"/>
    </row>
    <row r="103" spans="1:17" ht="12.75" customHeight="1" x14ac:dyDescent="0.25">
      <c r="A103" s="534" t="s">
        <v>198</v>
      </c>
      <c r="B103" s="477"/>
      <c r="C103" s="680"/>
      <c r="D103" s="680"/>
      <c r="E103" s="681"/>
      <c r="F103" s="6"/>
      <c r="G103" s="534" t="s">
        <v>198</v>
      </c>
      <c r="H103" s="477"/>
      <c r="I103" s="680"/>
      <c r="J103" s="680"/>
      <c r="K103" s="681"/>
      <c r="L103" s="6"/>
      <c r="M103" s="534" t="s">
        <v>198</v>
      </c>
      <c r="N103" s="477"/>
      <c r="O103" s="680"/>
      <c r="P103" s="680"/>
      <c r="Q103" s="681"/>
    </row>
    <row r="104" spans="1:17" ht="12.75" customHeight="1" x14ac:dyDescent="0.25">
      <c r="A104" s="534" t="s">
        <v>199</v>
      </c>
      <c r="B104" s="477"/>
      <c r="C104" s="680"/>
      <c r="D104" s="680"/>
      <c r="E104" s="681"/>
      <c r="F104" s="6"/>
      <c r="G104" s="534" t="s">
        <v>199</v>
      </c>
      <c r="H104" s="477"/>
      <c r="I104" s="680"/>
      <c r="J104" s="680"/>
      <c r="K104" s="681"/>
      <c r="L104" s="6"/>
      <c r="M104" s="534" t="s">
        <v>199</v>
      </c>
      <c r="N104" s="477"/>
      <c r="O104" s="680"/>
      <c r="P104" s="680"/>
      <c r="Q104" s="681"/>
    </row>
    <row r="105" spans="1:17" ht="12.75" customHeight="1" x14ac:dyDescent="0.25">
      <c r="A105" s="534" t="s">
        <v>200</v>
      </c>
      <c r="B105" s="477"/>
      <c r="C105" s="680"/>
      <c r="D105" s="680"/>
      <c r="E105" s="681"/>
      <c r="F105" s="6"/>
      <c r="G105" s="534" t="s">
        <v>200</v>
      </c>
      <c r="H105" s="477"/>
      <c r="I105" s="680"/>
      <c r="J105" s="680"/>
      <c r="K105" s="681"/>
      <c r="L105" s="6"/>
      <c r="M105" s="534" t="s">
        <v>200</v>
      </c>
      <c r="N105" s="477"/>
      <c r="O105" s="680"/>
      <c r="P105" s="680"/>
      <c r="Q105" s="681"/>
    </row>
    <row r="106" spans="1:17" ht="12.75" customHeight="1" thickBot="1" x14ac:dyDescent="0.3">
      <c r="A106" s="125" t="s">
        <v>121</v>
      </c>
      <c r="B106" s="694"/>
      <c r="C106" s="694"/>
      <c r="D106" s="694"/>
      <c r="E106" s="695"/>
      <c r="F106" s="6"/>
      <c r="G106" s="125" t="s">
        <v>121</v>
      </c>
      <c r="H106" s="694"/>
      <c r="I106" s="694"/>
      <c r="J106" s="694"/>
      <c r="K106" s="695"/>
      <c r="L106" s="6"/>
      <c r="M106" s="125" t="s">
        <v>121</v>
      </c>
      <c r="N106" s="694"/>
      <c r="O106" s="694"/>
      <c r="P106" s="694"/>
      <c r="Q106" s="695"/>
    </row>
    <row r="107" spans="1:17" ht="3.75" customHeight="1" thickBot="1" x14ac:dyDescent="0.3">
      <c r="A107" s="6"/>
      <c r="B107" s="6"/>
      <c r="C107" s="6"/>
      <c r="D107" s="6"/>
      <c r="E107" s="6"/>
      <c r="F107" s="6"/>
      <c r="G107" s="6"/>
      <c r="H107" s="6"/>
      <c r="I107" s="6"/>
      <c r="J107" s="6"/>
      <c r="K107" s="6"/>
      <c r="L107" s="6"/>
      <c r="M107" s="6"/>
      <c r="N107" s="6"/>
      <c r="O107" s="6"/>
      <c r="P107" s="6"/>
      <c r="Q107" s="6"/>
    </row>
    <row r="108" spans="1:17" ht="12.75" customHeight="1" x14ac:dyDescent="0.25">
      <c r="A108" s="682" t="s">
        <v>20</v>
      </c>
      <c r="B108" s="683"/>
      <c r="C108" s="684"/>
      <c r="D108" s="684"/>
      <c r="E108" s="685"/>
      <c r="F108" s="6"/>
      <c r="G108" s="682" t="s">
        <v>20</v>
      </c>
      <c r="H108" s="683"/>
      <c r="I108" s="684"/>
      <c r="J108" s="684"/>
      <c r="K108" s="685"/>
      <c r="L108" s="6"/>
      <c r="M108" s="682" t="s">
        <v>20</v>
      </c>
      <c r="N108" s="683"/>
      <c r="O108" s="684"/>
      <c r="P108" s="684"/>
      <c r="Q108" s="685"/>
    </row>
    <row r="109" spans="1:17" ht="12.75" customHeight="1" x14ac:dyDescent="0.25">
      <c r="A109" s="534" t="s">
        <v>196</v>
      </c>
      <c r="B109" s="477"/>
      <c r="C109" s="680"/>
      <c r="D109" s="680"/>
      <c r="E109" s="681"/>
      <c r="F109" s="6"/>
      <c r="G109" s="534" t="s">
        <v>196</v>
      </c>
      <c r="H109" s="477"/>
      <c r="I109" s="680"/>
      <c r="J109" s="680"/>
      <c r="K109" s="681"/>
      <c r="L109" s="6"/>
      <c r="M109" s="534" t="s">
        <v>196</v>
      </c>
      <c r="N109" s="477"/>
      <c r="O109" s="680"/>
      <c r="P109" s="680"/>
      <c r="Q109" s="681"/>
    </row>
    <row r="110" spans="1:17" ht="12.75" customHeight="1" x14ac:dyDescent="0.25">
      <c r="A110" s="534" t="s">
        <v>197</v>
      </c>
      <c r="B110" s="477"/>
      <c r="C110" s="680"/>
      <c r="D110" s="680"/>
      <c r="E110" s="681"/>
      <c r="F110" s="6"/>
      <c r="G110" s="534" t="s">
        <v>197</v>
      </c>
      <c r="H110" s="477"/>
      <c r="I110" s="680"/>
      <c r="J110" s="680"/>
      <c r="K110" s="681"/>
      <c r="L110" s="6"/>
      <c r="M110" s="534" t="s">
        <v>197</v>
      </c>
      <c r="N110" s="477"/>
      <c r="O110" s="680"/>
      <c r="P110" s="680"/>
      <c r="Q110" s="681"/>
    </row>
    <row r="111" spans="1:17" ht="12.75" customHeight="1" x14ac:dyDescent="0.25">
      <c r="A111" s="534" t="s">
        <v>198</v>
      </c>
      <c r="B111" s="477"/>
      <c r="C111" s="680"/>
      <c r="D111" s="680"/>
      <c r="E111" s="681"/>
      <c r="F111" s="6"/>
      <c r="G111" s="534" t="s">
        <v>198</v>
      </c>
      <c r="H111" s="477"/>
      <c r="I111" s="680"/>
      <c r="J111" s="680"/>
      <c r="K111" s="681"/>
      <c r="L111" s="6"/>
      <c r="M111" s="534" t="s">
        <v>198</v>
      </c>
      <c r="N111" s="477"/>
      <c r="O111" s="680"/>
      <c r="P111" s="680"/>
      <c r="Q111" s="681"/>
    </row>
    <row r="112" spans="1:17" ht="12.75" customHeight="1" x14ac:dyDescent="0.25">
      <c r="A112" s="534" t="s">
        <v>199</v>
      </c>
      <c r="B112" s="477"/>
      <c r="C112" s="680"/>
      <c r="D112" s="680"/>
      <c r="E112" s="681"/>
      <c r="F112" s="6"/>
      <c r="G112" s="534" t="s">
        <v>199</v>
      </c>
      <c r="H112" s="477"/>
      <c r="I112" s="680"/>
      <c r="J112" s="680"/>
      <c r="K112" s="681"/>
      <c r="L112" s="6"/>
      <c r="M112" s="534" t="s">
        <v>199</v>
      </c>
      <c r="N112" s="477"/>
      <c r="O112" s="680"/>
      <c r="P112" s="680"/>
      <c r="Q112" s="681"/>
    </row>
    <row r="113" spans="1:17" ht="12.75" customHeight="1" x14ac:dyDescent="0.25">
      <c r="A113" s="534" t="s">
        <v>200</v>
      </c>
      <c r="B113" s="477"/>
      <c r="C113" s="680"/>
      <c r="D113" s="680"/>
      <c r="E113" s="681"/>
      <c r="F113" s="6"/>
      <c r="G113" s="534" t="s">
        <v>200</v>
      </c>
      <c r="H113" s="477"/>
      <c r="I113" s="680"/>
      <c r="J113" s="680"/>
      <c r="K113" s="681"/>
      <c r="L113" s="6"/>
      <c r="M113" s="534" t="s">
        <v>200</v>
      </c>
      <c r="N113" s="477"/>
      <c r="O113" s="680"/>
      <c r="P113" s="680"/>
      <c r="Q113" s="681"/>
    </row>
    <row r="114" spans="1:17" ht="12.75" customHeight="1" thickBot="1" x14ac:dyDescent="0.3">
      <c r="A114" s="125" t="s">
        <v>121</v>
      </c>
      <c r="B114" s="694"/>
      <c r="C114" s="694"/>
      <c r="D114" s="694"/>
      <c r="E114" s="695"/>
      <c r="F114" s="6"/>
      <c r="G114" s="125" t="s">
        <v>121</v>
      </c>
      <c r="H114" s="694"/>
      <c r="I114" s="694"/>
      <c r="J114" s="694"/>
      <c r="K114" s="695"/>
      <c r="L114" s="6"/>
      <c r="M114" s="125" t="s">
        <v>121</v>
      </c>
      <c r="N114" s="694"/>
      <c r="O114" s="694"/>
      <c r="P114" s="694"/>
      <c r="Q114" s="695"/>
    </row>
    <row r="115" spans="1:17" ht="3.75" customHeight="1" thickBot="1" x14ac:dyDescent="0.3">
      <c r="A115" s="6"/>
      <c r="B115" s="6"/>
      <c r="C115" s="6"/>
      <c r="D115" s="6"/>
      <c r="E115" s="6"/>
      <c r="F115" s="6"/>
      <c r="G115" s="6"/>
      <c r="H115" s="6"/>
      <c r="I115" s="6"/>
      <c r="J115" s="6"/>
      <c r="K115" s="6"/>
      <c r="L115" s="6"/>
      <c r="M115" s="6"/>
      <c r="N115" s="6"/>
      <c r="O115" s="6"/>
      <c r="P115" s="6"/>
      <c r="Q115" s="6"/>
    </row>
    <row r="116" spans="1:17" s="1" customFormat="1" ht="12.75" customHeight="1" x14ac:dyDescent="0.25">
      <c r="A116" s="682" t="s">
        <v>20</v>
      </c>
      <c r="B116" s="683"/>
      <c r="C116" s="684"/>
      <c r="D116" s="684"/>
      <c r="E116" s="685"/>
      <c r="F116" s="6"/>
      <c r="G116" s="682" t="s">
        <v>20</v>
      </c>
      <c r="H116" s="683"/>
      <c r="I116" s="684"/>
      <c r="J116" s="684"/>
      <c r="K116" s="685"/>
      <c r="L116" s="6"/>
      <c r="M116" s="682" t="s">
        <v>20</v>
      </c>
      <c r="N116" s="683"/>
      <c r="O116" s="684"/>
      <c r="P116" s="684"/>
      <c r="Q116" s="685"/>
    </row>
    <row r="117" spans="1:17" s="1" customFormat="1" ht="12.75" customHeight="1" x14ac:dyDescent="0.25">
      <c r="A117" s="534" t="s">
        <v>196</v>
      </c>
      <c r="B117" s="477"/>
      <c r="C117" s="680"/>
      <c r="D117" s="680"/>
      <c r="E117" s="681"/>
      <c r="F117" s="6"/>
      <c r="G117" s="534" t="s">
        <v>196</v>
      </c>
      <c r="H117" s="477"/>
      <c r="I117" s="680"/>
      <c r="J117" s="680"/>
      <c r="K117" s="681"/>
      <c r="L117" s="6"/>
      <c r="M117" s="534" t="s">
        <v>196</v>
      </c>
      <c r="N117" s="477"/>
      <c r="O117" s="680"/>
      <c r="P117" s="680"/>
      <c r="Q117" s="681"/>
    </row>
    <row r="118" spans="1:17" s="1" customFormat="1" ht="12.75" customHeight="1" x14ac:dyDescent="0.25">
      <c r="A118" s="534" t="s">
        <v>197</v>
      </c>
      <c r="B118" s="477"/>
      <c r="C118" s="680"/>
      <c r="D118" s="680"/>
      <c r="E118" s="681"/>
      <c r="F118" s="6"/>
      <c r="G118" s="534" t="s">
        <v>197</v>
      </c>
      <c r="H118" s="477"/>
      <c r="I118" s="680"/>
      <c r="J118" s="680"/>
      <c r="K118" s="681"/>
      <c r="L118" s="6"/>
      <c r="M118" s="534" t="s">
        <v>197</v>
      </c>
      <c r="N118" s="477"/>
      <c r="O118" s="680"/>
      <c r="P118" s="680"/>
      <c r="Q118" s="681"/>
    </row>
    <row r="119" spans="1:17" s="1" customFormat="1" ht="12.75" customHeight="1" x14ac:dyDescent="0.25">
      <c r="A119" s="534" t="s">
        <v>198</v>
      </c>
      <c r="B119" s="477"/>
      <c r="C119" s="680"/>
      <c r="D119" s="680"/>
      <c r="E119" s="681"/>
      <c r="F119" s="6"/>
      <c r="G119" s="534" t="s">
        <v>198</v>
      </c>
      <c r="H119" s="477"/>
      <c r="I119" s="680"/>
      <c r="J119" s="680"/>
      <c r="K119" s="681"/>
      <c r="L119" s="6"/>
      <c r="M119" s="534" t="s">
        <v>198</v>
      </c>
      <c r="N119" s="477"/>
      <c r="O119" s="680"/>
      <c r="P119" s="680"/>
      <c r="Q119" s="681"/>
    </row>
    <row r="120" spans="1:17" s="1" customFormat="1" ht="12.75" customHeight="1" x14ac:dyDescent="0.25">
      <c r="A120" s="534" t="s">
        <v>199</v>
      </c>
      <c r="B120" s="477"/>
      <c r="C120" s="680"/>
      <c r="D120" s="680"/>
      <c r="E120" s="681"/>
      <c r="F120" s="6"/>
      <c r="G120" s="534" t="s">
        <v>199</v>
      </c>
      <c r="H120" s="477"/>
      <c r="I120" s="680"/>
      <c r="J120" s="680"/>
      <c r="K120" s="681"/>
      <c r="L120" s="6"/>
      <c r="M120" s="534" t="s">
        <v>199</v>
      </c>
      <c r="N120" s="477"/>
      <c r="O120" s="680"/>
      <c r="P120" s="680"/>
      <c r="Q120" s="681"/>
    </row>
    <row r="121" spans="1:17" s="1" customFormat="1" ht="12.75" customHeight="1" x14ac:dyDescent="0.25">
      <c r="A121" s="534" t="s">
        <v>200</v>
      </c>
      <c r="B121" s="477"/>
      <c r="C121" s="680"/>
      <c r="D121" s="680"/>
      <c r="E121" s="681"/>
      <c r="F121" s="6"/>
      <c r="G121" s="534" t="s">
        <v>200</v>
      </c>
      <c r="H121" s="477"/>
      <c r="I121" s="680"/>
      <c r="J121" s="680"/>
      <c r="K121" s="681"/>
      <c r="L121" s="6"/>
      <c r="M121" s="534" t="s">
        <v>200</v>
      </c>
      <c r="N121" s="477"/>
      <c r="O121" s="680"/>
      <c r="P121" s="680"/>
      <c r="Q121" s="681"/>
    </row>
    <row r="122" spans="1:17" s="1" customFormat="1" ht="12.75" customHeight="1" thickBot="1" x14ac:dyDescent="0.3">
      <c r="A122" s="125" t="s">
        <v>121</v>
      </c>
      <c r="B122" s="694"/>
      <c r="C122" s="694"/>
      <c r="D122" s="694"/>
      <c r="E122" s="695"/>
      <c r="F122" s="6"/>
      <c r="G122" s="125" t="s">
        <v>121</v>
      </c>
      <c r="H122" s="694"/>
      <c r="I122" s="694"/>
      <c r="J122" s="694"/>
      <c r="K122" s="695"/>
      <c r="L122" s="6"/>
      <c r="M122" s="125" t="s">
        <v>121</v>
      </c>
      <c r="N122" s="694"/>
      <c r="O122" s="694"/>
      <c r="P122" s="694"/>
      <c r="Q122" s="695"/>
    </row>
    <row r="123" spans="1:17" ht="12.75" customHeight="1" x14ac:dyDescent="0.25">
      <c r="A123" s="1"/>
      <c r="B123" s="1"/>
      <c r="C123" s="1"/>
      <c r="D123" s="1"/>
      <c r="E123" s="1"/>
      <c r="G123" s="1"/>
      <c r="H123" s="1"/>
      <c r="I123" s="1"/>
      <c r="J123" s="1"/>
      <c r="K123" s="1"/>
      <c r="M123" s="1"/>
      <c r="N123" s="1"/>
      <c r="O123" s="1"/>
      <c r="P123" s="1"/>
      <c r="Q123" s="1"/>
    </row>
    <row r="124" spans="1:17" ht="12.75" customHeight="1" x14ac:dyDescent="0.25">
      <c r="A124" s="1"/>
      <c r="B124" s="1"/>
      <c r="C124" s="1"/>
      <c r="D124" s="1"/>
      <c r="E124" s="1"/>
      <c r="G124" s="1"/>
      <c r="H124" s="1"/>
      <c r="I124" s="1"/>
      <c r="J124" s="1"/>
      <c r="K124" s="1"/>
      <c r="M124" s="1"/>
      <c r="N124" s="1"/>
      <c r="O124" s="1"/>
      <c r="P124" s="1"/>
      <c r="Q124" s="1"/>
    </row>
    <row r="125" spans="1:17" ht="12.75" customHeight="1" x14ac:dyDescent="0.25">
      <c r="A125" s="1"/>
      <c r="B125" s="1"/>
      <c r="C125" s="1"/>
      <c r="D125" s="1"/>
      <c r="E125" s="1"/>
      <c r="G125" s="1"/>
      <c r="H125" s="1"/>
      <c r="I125" s="1"/>
      <c r="J125" s="1"/>
      <c r="K125" s="1"/>
      <c r="M125" s="1"/>
      <c r="N125" s="1"/>
      <c r="O125" s="1"/>
      <c r="P125" s="1"/>
      <c r="Q125" s="1"/>
    </row>
    <row r="126" spans="1:17" ht="12.75" customHeight="1" x14ac:dyDescent="0.25">
      <c r="A126" s="1"/>
      <c r="B126" s="1"/>
      <c r="C126" s="1"/>
      <c r="D126" s="1"/>
      <c r="E126" s="1"/>
      <c r="G126" s="1"/>
      <c r="H126" s="1"/>
      <c r="I126" s="1"/>
      <c r="J126" s="1"/>
      <c r="K126" s="1"/>
      <c r="M126" s="1"/>
      <c r="N126" s="1"/>
      <c r="O126" s="1"/>
      <c r="P126" s="1"/>
      <c r="Q126" s="1"/>
    </row>
    <row r="127" spans="1:17" ht="12.75" customHeight="1" x14ac:dyDescent="0.25">
      <c r="A127" s="1"/>
      <c r="B127" s="1"/>
      <c r="C127" s="1"/>
      <c r="D127" s="1"/>
      <c r="E127" s="1"/>
      <c r="G127" s="1"/>
      <c r="H127" s="1"/>
      <c r="I127" s="1"/>
      <c r="J127" s="1"/>
      <c r="K127" s="1"/>
      <c r="M127" s="1"/>
      <c r="N127" s="1"/>
      <c r="O127" s="1"/>
      <c r="P127" s="1"/>
      <c r="Q127" s="1"/>
    </row>
    <row r="128" spans="1:17" ht="12.75" customHeight="1" x14ac:dyDescent="0.25">
      <c r="A128" s="1"/>
      <c r="B128" s="1"/>
      <c r="C128" s="1"/>
      <c r="D128" s="1"/>
      <c r="E128" s="1"/>
      <c r="G128" s="1"/>
      <c r="H128" s="1"/>
      <c r="I128" s="1"/>
      <c r="J128" s="1"/>
      <c r="K128" s="1"/>
      <c r="M128" s="1"/>
      <c r="N128" s="1"/>
      <c r="O128" s="1"/>
      <c r="P128" s="1"/>
      <c r="Q128" s="1"/>
    </row>
    <row r="129" ht="12.75" customHeight="1" x14ac:dyDescent="0.25"/>
  </sheetData>
  <mergeCells count="555">
    <mergeCell ref="B122:E122"/>
    <mergeCell ref="H122:K122"/>
    <mergeCell ref="N122:Q122"/>
    <mergeCell ref="A66:Q66"/>
    <mergeCell ref="A121:B121"/>
    <mergeCell ref="C121:E121"/>
    <mergeCell ref="G121:H121"/>
    <mergeCell ref="I121:K121"/>
    <mergeCell ref="M121:N121"/>
    <mergeCell ref="O121:Q121"/>
    <mergeCell ref="A120:B120"/>
    <mergeCell ref="C120:E120"/>
    <mergeCell ref="G120:H120"/>
    <mergeCell ref="I120:K120"/>
    <mergeCell ref="M120:N120"/>
    <mergeCell ref="O120:Q120"/>
    <mergeCell ref="A119:B119"/>
    <mergeCell ref="C119:E119"/>
    <mergeCell ref="G119:H119"/>
    <mergeCell ref="I119:K119"/>
    <mergeCell ref="M119:N119"/>
    <mergeCell ref="O119:Q119"/>
    <mergeCell ref="A118:B118"/>
    <mergeCell ref="C118:E118"/>
    <mergeCell ref="G118:H118"/>
    <mergeCell ref="I118:K118"/>
    <mergeCell ref="M118:N118"/>
    <mergeCell ref="O118:Q118"/>
    <mergeCell ref="A117:B117"/>
    <mergeCell ref="C117:E117"/>
    <mergeCell ref="G117:H117"/>
    <mergeCell ref="I117:K117"/>
    <mergeCell ref="M117:N117"/>
    <mergeCell ref="O117:Q117"/>
    <mergeCell ref="B114:E114"/>
    <mergeCell ref="H114:K114"/>
    <mergeCell ref="N114:Q114"/>
    <mergeCell ref="A116:B116"/>
    <mergeCell ref="C116:E116"/>
    <mergeCell ref="G116:H116"/>
    <mergeCell ref="I116:K116"/>
    <mergeCell ref="M116:N116"/>
    <mergeCell ref="O116:Q116"/>
    <mergeCell ref="A113:B113"/>
    <mergeCell ref="C113:E113"/>
    <mergeCell ref="G113:H113"/>
    <mergeCell ref="I113:K113"/>
    <mergeCell ref="M113:N113"/>
    <mergeCell ref="O113:Q113"/>
    <mergeCell ref="A112:B112"/>
    <mergeCell ref="C112:E112"/>
    <mergeCell ref="G112:H112"/>
    <mergeCell ref="I112:K112"/>
    <mergeCell ref="M112:N112"/>
    <mergeCell ref="O112:Q112"/>
    <mergeCell ref="A111:B111"/>
    <mergeCell ref="C111:E111"/>
    <mergeCell ref="G111:H111"/>
    <mergeCell ref="I111:K111"/>
    <mergeCell ref="M111:N111"/>
    <mergeCell ref="O111:Q111"/>
    <mergeCell ref="A110:B110"/>
    <mergeCell ref="C110:E110"/>
    <mergeCell ref="G110:H110"/>
    <mergeCell ref="I110:K110"/>
    <mergeCell ref="M110:N110"/>
    <mergeCell ref="O110:Q110"/>
    <mergeCell ref="A109:B109"/>
    <mergeCell ref="C109:E109"/>
    <mergeCell ref="G109:H109"/>
    <mergeCell ref="I109:K109"/>
    <mergeCell ref="M109:N109"/>
    <mergeCell ref="O109:Q109"/>
    <mergeCell ref="B106:E106"/>
    <mergeCell ref="H106:K106"/>
    <mergeCell ref="N106:Q106"/>
    <mergeCell ref="A108:B108"/>
    <mergeCell ref="C108:E108"/>
    <mergeCell ref="G108:H108"/>
    <mergeCell ref="I108:K108"/>
    <mergeCell ref="M108:N108"/>
    <mergeCell ref="O108:Q108"/>
    <mergeCell ref="A105:B105"/>
    <mergeCell ref="C105:E105"/>
    <mergeCell ref="G105:H105"/>
    <mergeCell ref="I105:K105"/>
    <mergeCell ref="M105:N105"/>
    <mergeCell ref="O105:Q105"/>
    <mergeCell ref="O103:Q103"/>
    <mergeCell ref="A102:B102"/>
    <mergeCell ref="C102:E102"/>
    <mergeCell ref="G102:H102"/>
    <mergeCell ref="I102:K102"/>
    <mergeCell ref="M102:N102"/>
    <mergeCell ref="O102:Q102"/>
    <mergeCell ref="A104:B104"/>
    <mergeCell ref="C104:E104"/>
    <mergeCell ref="G104:H104"/>
    <mergeCell ref="I104:K104"/>
    <mergeCell ref="M104:N104"/>
    <mergeCell ref="O104:Q104"/>
    <mergeCell ref="A103:B103"/>
    <mergeCell ref="C103:E103"/>
    <mergeCell ref="G103:H103"/>
    <mergeCell ref="I103:K103"/>
    <mergeCell ref="M103:N103"/>
    <mergeCell ref="A101:B101"/>
    <mergeCell ref="C101:E101"/>
    <mergeCell ref="G101:H101"/>
    <mergeCell ref="I101:K101"/>
    <mergeCell ref="M101:N101"/>
    <mergeCell ref="O101:Q101"/>
    <mergeCell ref="B98:E98"/>
    <mergeCell ref="H98:K98"/>
    <mergeCell ref="N98:Q98"/>
    <mergeCell ref="A100:B100"/>
    <mergeCell ref="C100:E100"/>
    <mergeCell ref="G100:H100"/>
    <mergeCell ref="I100:K100"/>
    <mergeCell ref="M100:N100"/>
    <mergeCell ref="O100:Q100"/>
    <mergeCell ref="A97:B97"/>
    <mergeCell ref="C97:E97"/>
    <mergeCell ref="G97:H97"/>
    <mergeCell ref="I97:K97"/>
    <mergeCell ref="M97:N97"/>
    <mergeCell ref="O97:Q97"/>
    <mergeCell ref="A96:B96"/>
    <mergeCell ref="C96:E96"/>
    <mergeCell ref="G96:H96"/>
    <mergeCell ref="I96:K96"/>
    <mergeCell ref="M96:N96"/>
    <mergeCell ref="O96:Q96"/>
    <mergeCell ref="A95:B95"/>
    <mergeCell ref="C95:E95"/>
    <mergeCell ref="G95:H95"/>
    <mergeCell ref="I95:K95"/>
    <mergeCell ref="M95:N95"/>
    <mergeCell ref="O95:Q95"/>
    <mergeCell ref="A94:B94"/>
    <mergeCell ref="C94:E94"/>
    <mergeCell ref="G94:H94"/>
    <mergeCell ref="I94:K94"/>
    <mergeCell ref="M94:N94"/>
    <mergeCell ref="O94:Q94"/>
    <mergeCell ref="A93:B93"/>
    <mergeCell ref="C93:E93"/>
    <mergeCell ref="G93:H93"/>
    <mergeCell ref="I93:K93"/>
    <mergeCell ref="M93:N93"/>
    <mergeCell ref="O93:Q93"/>
    <mergeCell ref="B90:E90"/>
    <mergeCell ref="H90:K90"/>
    <mergeCell ref="N90:Q90"/>
    <mergeCell ref="A92:B92"/>
    <mergeCell ref="C92:E92"/>
    <mergeCell ref="G92:H92"/>
    <mergeCell ref="I92:K92"/>
    <mergeCell ref="M92:N92"/>
    <mergeCell ref="O92:Q92"/>
    <mergeCell ref="A89:B89"/>
    <mergeCell ref="C89:E89"/>
    <mergeCell ref="G89:H89"/>
    <mergeCell ref="I89:K89"/>
    <mergeCell ref="M89:N89"/>
    <mergeCell ref="O89:Q89"/>
    <mergeCell ref="A88:B88"/>
    <mergeCell ref="C88:E88"/>
    <mergeCell ref="G88:H88"/>
    <mergeCell ref="I88:K88"/>
    <mergeCell ref="M88:N88"/>
    <mergeCell ref="O88:Q88"/>
    <mergeCell ref="A87:B87"/>
    <mergeCell ref="C87:E87"/>
    <mergeCell ref="G87:H87"/>
    <mergeCell ref="I87:K87"/>
    <mergeCell ref="M87:N87"/>
    <mergeCell ref="O87:Q87"/>
    <mergeCell ref="A86:B86"/>
    <mergeCell ref="C86:E86"/>
    <mergeCell ref="G86:H86"/>
    <mergeCell ref="I86:K86"/>
    <mergeCell ref="M86:N86"/>
    <mergeCell ref="O86:Q86"/>
    <mergeCell ref="A85:B85"/>
    <mergeCell ref="C85:E85"/>
    <mergeCell ref="G85:H85"/>
    <mergeCell ref="I85:K85"/>
    <mergeCell ref="M85:N85"/>
    <mergeCell ref="O85:Q85"/>
    <mergeCell ref="B82:E82"/>
    <mergeCell ref="H82:K82"/>
    <mergeCell ref="N82:Q82"/>
    <mergeCell ref="A84:B84"/>
    <mergeCell ref="C84:E84"/>
    <mergeCell ref="G84:H84"/>
    <mergeCell ref="I84:K84"/>
    <mergeCell ref="M84:N84"/>
    <mergeCell ref="O84:Q84"/>
    <mergeCell ref="A81:B81"/>
    <mergeCell ref="C81:E81"/>
    <mergeCell ref="G81:H81"/>
    <mergeCell ref="I81:K81"/>
    <mergeCell ref="M81:N81"/>
    <mergeCell ref="O81:Q81"/>
    <mergeCell ref="A80:B80"/>
    <mergeCell ref="C80:E80"/>
    <mergeCell ref="G80:H80"/>
    <mergeCell ref="I80:K80"/>
    <mergeCell ref="M80:N80"/>
    <mergeCell ref="O80:Q80"/>
    <mergeCell ref="A79:B79"/>
    <mergeCell ref="C79:E79"/>
    <mergeCell ref="G79:H79"/>
    <mergeCell ref="I79:K79"/>
    <mergeCell ref="M79:N79"/>
    <mergeCell ref="O79:Q79"/>
    <mergeCell ref="A78:B78"/>
    <mergeCell ref="C78:E78"/>
    <mergeCell ref="G78:H78"/>
    <mergeCell ref="I78:K78"/>
    <mergeCell ref="M78:N78"/>
    <mergeCell ref="O78:Q78"/>
    <mergeCell ref="A77:B77"/>
    <mergeCell ref="C77:E77"/>
    <mergeCell ref="G77:H77"/>
    <mergeCell ref="I77:K77"/>
    <mergeCell ref="M77:N77"/>
    <mergeCell ref="O77:Q77"/>
    <mergeCell ref="B74:E74"/>
    <mergeCell ref="H74:K74"/>
    <mergeCell ref="N74:Q74"/>
    <mergeCell ref="A76:B76"/>
    <mergeCell ref="C76:E76"/>
    <mergeCell ref="G76:H76"/>
    <mergeCell ref="I76:K76"/>
    <mergeCell ref="M76:N76"/>
    <mergeCell ref="O76:Q76"/>
    <mergeCell ref="A73:B73"/>
    <mergeCell ref="C73:E73"/>
    <mergeCell ref="G73:H73"/>
    <mergeCell ref="I73:K73"/>
    <mergeCell ref="M73:N73"/>
    <mergeCell ref="O73:Q73"/>
    <mergeCell ref="A72:B72"/>
    <mergeCell ref="C72:E72"/>
    <mergeCell ref="G72:H72"/>
    <mergeCell ref="I72:K72"/>
    <mergeCell ref="M72:N72"/>
    <mergeCell ref="O72:Q72"/>
    <mergeCell ref="A71:B71"/>
    <mergeCell ref="C71:E71"/>
    <mergeCell ref="G71:H71"/>
    <mergeCell ref="I71:K71"/>
    <mergeCell ref="M71:N71"/>
    <mergeCell ref="O71:Q71"/>
    <mergeCell ref="A70:B70"/>
    <mergeCell ref="C70:E70"/>
    <mergeCell ref="G70:H70"/>
    <mergeCell ref="I70:K70"/>
    <mergeCell ref="M70:N70"/>
    <mergeCell ref="O70:Q70"/>
    <mergeCell ref="A69:B69"/>
    <mergeCell ref="C69:E69"/>
    <mergeCell ref="G69:H69"/>
    <mergeCell ref="I69:K69"/>
    <mergeCell ref="M69:N69"/>
    <mergeCell ref="O69:Q69"/>
    <mergeCell ref="B62:E62"/>
    <mergeCell ref="H62:K62"/>
    <mergeCell ref="N62:Q62"/>
    <mergeCell ref="A68:B68"/>
    <mergeCell ref="C68:E68"/>
    <mergeCell ref="G68:H68"/>
    <mergeCell ref="I68:K68"/>
    <mergeCell ref="M68:N68"/>
    <mergeCell ref="O68:Q68"/>
    <mergeCell ref="A64:Q64"/>
    <mergeCell ref="A61:B61"/>
    <mergeCell ref="C61:E61"/>
    <mergeCell ref="G61:H61"/>
    <mergeCell ref="I61:K61"/>
    <mergeCell ref="M61:N61"/>
    <mergeCell ref="O61:Q61"/>
    <mergeCell ref="A60:B60"/>
    <mergeCell ref="C60:E60"/>
    <mergeCell ref="G60:H60"/>
    <mergeCell ref="I60:K60"/>
    <mergeCell ref="M60:N60"/>
    <mergeCell ref="O60:Q60"/>
    <mergeCell ref="A59:B59"/>
    <mergeCell ref="C59:E59"/>
    <mergeCell ref="G59:H59"/>
    <mergeCell ref="I59:K59"/>
    <mergeCell ref="M59:N59"/>
    <mergeCell ref="O59:Q59"/>
    <mergeCell ref="A58:B58"/>
    <mergeCell ref="C58:E58"/>
    <mergeCell ref="G58:H58"/>
    <mergeCell ref="I58:K58"/>
    <mergeCell ref="M58:N58"/>
    <mergeCell ref="O58:Q58"/>
    <mergeCell ref="A57:B57"/>
    <mergeCell ref="C57:E57"/>
    <mergeCell ref="G57:H57"/>
    <mergeCell ref="I57:K57"/>
    <mergeCell ref="M57:N57"/>
    <mergeCell ref="O57:Q57"/>
    <mergeCell ref="N54:Q54"/>
    <mergeCell ref="K4:L4"/>
    <mergeCell ref="A56:B56"/>
    <mergeCell ref="C56:E56"/>
    <mergeCell ref="G56:H56"/>
    <mergeCell ref="I56:K56"/>
    <mergeCell ref="M56:N56"/>
    <mergeCell ref="O56:Q56"/>
    <mergeCell ref="M51:N51"/>
    <mergeCell ref="O51:Q51"/>
    <mergeCell ref="M52:N52"/>
    <mergeCell ref="O52:Q52"/>
    <mergeCell ref="M53:N53"/>
    <mergeCell ref="O53:Q53"/>
    <mergeCell ref="N46:Q46"/>
    <mergeCell ref="M48:N48"/>
    <mergeCell ref="O48:Q48"/>
    <mergeCell ref="M49:N49"/>
    <mergeCell ref="O49:Q49"/>
    <mergeCell ref="M50:N50"/>
    <mergeCell ref="O50:Q50"/>
    <mergeCell ref="M43:N43"/>
    <mergeCell ref="O43:Q43"/>
    <mergeCell ref="M44:N44"/>
    <mergeCell ref="O44:Q44"/>
    <mergeCell ref="M45:N45"/>
    <mergeCell ref="O45:Q45"/>
    <mergeCell ref="N38:Q38"/>
    <mergeCell ref="M40:N40"/>
    <mergeCell ref="O40:Q40"/>
    <mergeCell ref="M41:N41"/>
    <mergeCell ref="O41:Q41"/>
    <mergeCell ref="M42:N42"/>
    <mergeCell ref="O42:Q42"/>
    <mergeCell ref="M35:N35"/>
    <mergeCell ref="O35:Q35"/>
    <mergeCell ref="M36:N36"/>
    <mergeCell ref="O36:Q36"/>
    <mergeCell ref="M37:N37"/>
    <mergeCell ref="O37:Q37"/>
    <mergeCell ref="N30:Q30"/>
    <mergeCell ref="M32:N32"/>
    <mergeCell ref="O32:Q32"/>
    <mergeCell ref="M33:N33"/>
    <mergeCell ref="O33:Q33"/>
    <mergeCell ref="M34:N34"/>
    <mergeCell ref="O34:Q34"/>
    <mergeCell ref="M27:N27"/>
    <mergeCell ref="O27:Q27"/>
    <mergeCell ref="M28:N28"/>
    <mergeCell ref="O28:Q28"/>
    <mergeCell ref="M29:N29"/>
    <mergeCell ref="O29:Q29"/>
    <mergeCell ref="M24:N24"/>
    <mergeCell ref="O24:Q24"/>
    <mergeCell ref="M25:N25"/>
    <mergeCell ref="O25:Q25"/>
    <mergeCell ref="M26:N26"/>
    <mergeCell ref="O26:Q26"/>
    <mergeCell ref="M19:N19"/>
    <mergeCell ref="O19:Q19"/>
    <mergeCell ref="M20:N20"/>
    <mergeCell ref="O20:Q20"/>
    <mergeCell ref="M21:N21"/>
    <mergeCell ref="O21:Q21"/>
    <mergeCell ref="N22:Q22"/>
    <mergeCell ref="G41:H41"/>
    <mergeCell ref="I41:K41"/>
    <mergeCell ref="G42:H42"/>
    <mergeCell ref="I42:K42"/>
    <mergeCell ref="G43:H43"/>
    <mergeCell ref="I43:K43"/>
    <mergeCell ref="G36:H36"/>
    <mergeCell ref="I36:K36"/>
    <mergeCell ref="G37:H37"/>
    <mergeCell ref="I37:K37"/>
    <mergeCell ref="H38:K38"/>
    <mergeCell ref="G40:H40"/>
    <mergeCell ref="I40:K40"/>
    <mergeCell ref="H54:K54"/>
    <mergeCell ref="G49:H49"/>
    <mergeCell ref="I49:K49"/>
    <mergeCell ref="G50:H50"/>
    <mergeCell ref="I50:K50"/>
    <mergeCell ref="G51:H51"/>
    <mergeCell ref="I51:K51"/>
    <mergeCell ref="G44:H44"/>
    <mergeCell ref="I44:K44"/>
    <mergeCell ref="G45:H45"/>
    <mergeCell ref="I45:K45"/>
    <mergeCell ref="H46:K46"/>
    <mergeCell ref="G48:H48"/>
    <mergeCell ref="I48:K48"/>
    <mergeCell ref="G52:H52"/>
    <mergeCell ref="I52:K52"/>
    <mergeCell ref="G53:H53"/>
    <mergeCell ref="I53:K53"/>
    <mergeCell ref="G34:H34"/>
    <mergeCell ref="I34:K34"/>
    <mergeCell ref="G35:H35"/>
    <mergeCell ref="I35:K35"/>
    <mergeCell ref="G28:H28"/>
    <mergeCell ref="I28:K28"/>
    <mergeCell ref="G29:H29"/>
    <mergeCell ref="I29:K29"/>
    <mergeCell ref="H30:K30"/>
    <mergeCell ref="G32:H32"/>
    <mergeCell ref="I32:K32"/>
    <mergeCell ref="G33:H33"/>
    <mergeCell ref="I33:K33"/>
    <mergeCell ref="G25:H25"/>
    <mergeCell ref="I25:K25"/>
    <mergeCell ref="G26:H26"/>
    <mergeCell ref="I26:K26"/>
    <mergeCell ref="G27:H27"/>
    <mergeCell ref="I27:K27"/>
    <mergeCell ref="I20:K20"/>
    <mergeCell ref="G21:H21"/>
    <mergeCell ref="I21:K21"/>
    <mergeCell ref="H22:K22"/>
    <mergeCell ref="G24:H24"/>
    <mergeCell ref="I24:K24"/>
    <mergeCell ref="B54:E54"/>
    <mergeCell ref="G16:H16"/>
    <mergeCell ref="I16:K16"/>
    <mergeCell ref="G17:H17"/>
    <mergeCell ref="I17:K17"/>
    <mergeCell ref="G18:H18"/>
    <mergeCell ref="I18:K18"/>
    <mergeCell ref="G19:H19"/>
    <mergeCell ref="I19:K19"/>
    <mergeCell ref="G20:H20"/>
    <mergeCell ref="A51:B51"/>
    <mergeCell ref="C51:E51"/>
    <mergeCell ref="A52:B52"/>
    <mergeCell ref="C52:E52"/>
    <mergeCell ref="A53:B53"/>
    <mergeCell ref="C53:E53"/>
    <mergeCell ref="B46:E46"/>
    <mergeCell ref="A48:B48"/>
    <mergeCell ref="C48:E48"/>
    <mergeCell ref="A49:B49"/>
    <mergeCell ref="C49:E49"/>
    <mergeCell ref="A50:B50"/>
    <mergeCell ref="C50:E50"/>
    <mergeCell ref="A43:B43"/>
    <mergeCell ref="C43:E43"/>
    <mergeCell ref="A44:B44"/>
    <mergeCell ref="C44:E44"/>
    <mergeCell ref="A45:B45"/>
    <mergeCell ref="C45:E45"/>
    <mergeCell ref="B38:E38"/>
    <mergeCell ref="A40:B40"/>
    <mergeCell ref="C40:E40"/>
    <mergeCell ref="A41:B41"/>
    <mergeCell ref="C41:E41"/>
    <mergeCell ref="A42:B42"/>
    <mergeCell ref="C42:E42"/>
    <mergeCell ref="A35:B35"/>
    <mergeCell ref="C35:E35"/>
    <mergeCell ref="A36:B36"/>
    <mergeCell ref="C36:E36"/>
    <mergeCell ref="A37:B37"/>
    <mergeCell ref="C37:E37"/>
    <mergeCell ref="B30:E30"/>
    <mergeCell ref="A32:B32"/>
    <mergeCell ref="C32:E32"/>
    <mergeCell ref="A33:B33"/>
    <mergeCell ref="C33:E33"/>
    <mergeCell ref="A34:B34"/>
    <mergeCell ref="C34:E34"/>
    <mergeCell ref="A27:B27"/>
    <mergeCell ref="C27:E27"/>
    <mergeCell ref="A28:B28"/>
    <mergeCell ref="C28:E28"/>
    <mergeCell ref="A29:B29"/>
    <mergeCell ref="C29:E29"/>
    <mergeCell ref="B22:E22"/>
    <mergeCell ref="A24:B24"/>
    <mergeCell ref="C24:E24"/>
    <mergeCell ref="A25:B25"/>
    <mergeCell ref="C25:E25"/>
    <mergeCell ref="A26:B26"/>
    <mergeCell ref="C26:E26"/>
    <mergeCell ref="A19:B19"/>
    <mergeCell ref="C19:E19"/>
    <mergeCell ref="A20:B20"/>
    <mergeCell ref="C20:E20"/>
    <mergeCell ref="A21:B21"/>
    <mergeCell ref="C21:E21"/>
    <mergeCell ref="N14:Q14"/>
    <mergeCell ref="A16:B16"/>
    <mergeCell ref="C16:E16"/>
    <mergeCell ref="A17:B17"/>
    <mergeCell ref="C17:E17"/>
    <mergeCell ref="A18:B18"/>
    <mergeCell ref="C18:E18"/>
    <mergeCell ref="O18:Q18"/>
    <mergeCell ref="H14:K14"/>
    <mergeCell ref="M16:N16"/>
    <mergeCell ref="O16:Q16"/>
    <mergeCell ref="M17:N17"/>
    <mergeCell ref="O17:Q17"/>
    <mergeCell ref="M18:N18"/>
    <mergeCell ref="B14:E14"/>
    <mergeCell ref="A1:Q1"/>
    <mergeCell ref="A10:B10"/>
    <mergeCell ref="A11:B11"/>
    <mergeCell ref="A12:B12"/>
    <mergeCell ref="A13:B13"/>
    <mergeCell ref="A3:H3"/>
    <mergeCell ref="J3:Q3"/>
    <mergeCell ref="E4:G4"/>
    <mergeCell ref="O4:P4"/>
    <mergeCell ref="A6:Q6"/>
    <mergeCell ref="M8:N8"/>
    <mergeCell ref="O8:Q8"/>
    <mergeCell ref="M9:N9"/>
    <mergeCell ref="O9:Q9"/>
    <mergeCell ref="M10:N10"/>
    <mergeCell ref="O10:Q10"/>
    <mergeCell ref="C13:E13"/>
    <mergeCell ref="G8:H8"/>
    <mergeCell ref="I8:K8"/>
    <mergeCell ref="G9:H9"/>
    <mergeCell ref="I9:K9"/>
    <mergeCell ref="G10:H10"/>
    <mergeCell ref="I10:K10"/>
    <mergeCell ref="G11:H11"/>
    <mergeCell ref="M11:N11"/>
    <mergeCell ref="O11:Q11"/>
    <mergeCell ref="M12:N12"/>
    <mergeCell ref="O12:Q12"/>
    <mergeCell ref="M13:N13"/>
    <mergeCell ref="O13:Q13"/>
    <mergeCell ref="C12:E12"/>
    <mergeCell ref="G12:H12"/>
    <mergeCell ref="A8:B8"/>
    <mergeCell ref="A9:B9"/>
    <mergeCell ref="I12:K12"/>
    <mergeCell ref="G13:H13"/>
    <mergeCell ref="I13:K13"/>
    <mergeCell ref="I11:K11"/>
    <mergeCell ref="C8:E8"/>
    <mergeCell ref="C9:E9"/>
    <mergeCell ref="C10:E10"/>
    <mergeCell ref="C11:E1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B490-07D5-44B3-9878-9846777ED112}">
  <sheetPr codeName="Sheet6">
    <tabColor rgb="FF542708"/>
  </sheetPr>
  <dimension ref="A1:AL78"/>
  <sheetViews>
    <sheetView zoomScaleNormal="100" workbookViewId="0">
      <selection activeCell="E5" sqref="E5"/>
    </sheetView>
  </sheetViews>
  <sheetFormatPr defaultRowHeight="15" x14ac:dyDescent="0.25"/>
  <cols>
    <col min="1" max="1" width="3.42578125" style="1" customWidth="1"/>
    <col min="2" max="2" width="3.42578125" customWidth="1"/>
    <col min="3" max="3" width="3" style="1" customWidth="1"/>
    <col min="4" max="4" width="3" customWidth="1"/>
    <col min="5" max="8" width="6" customWidth="1"/>
    <col min="9" max="9" width="0.7109375" style="1" customWidth="1"/>
    <col min="10" max="10" width="3" customWidth="1"/>
    <col min="11" max="12" width="3" style="1" customWidth="1"/>
    <col min="13" max="13" width="3" customWidth="1"/>
    <col min="14" max="14" width="0.7109375" customWidth="1"/>
    <col min="15" max="24" width="6" customWidth="1"/>
    <col min="25" max="25" width="6" style="88" customWidth="1"/>
    <col min="26" max="27" width="9.140625" style="88"/>
    <col min="28" max="28" width="9.140625" style="88" customWidth="1"/>
    <col min="29" max="34" width="9.140625" style="88"/>
  </cols>
  <sheetData>
    <row r="1" spans="1:38" s="1" customFormat="1" ht="18.75" customHeight="1" x14ac:dyDescent="0.25">
      <c r="A1" s="820" t="s">
        <v>16</v>
      </c>
      <c r="B1" s="821"/>
      <c r="C1" s="821"/>
      <c r="D1" s="821"/>
      <c r="E1" s="821"/>
      <c r="F1" s="821"/>
      <c r="G1" s="821"/>
      <c r="H1" s="821"/>
      <c r="I1" s="821"/>
      <c r="J1" s="821"/>
      <c r="K1" s="821"/>
      <c r="L1" s="821"/>
      <c r="M1" s="821"/>
      <c r="N1" s="821"/>
      <c r="O1" s="821"/>
      <c r="P1" s="821"/>
      <c r="Q1" s="821"/>
      <c r="R1" s="821"/>
      <c r="S1" s="821"/>
      <c r="T1" s="821"/>
    </row>
    <row r="2" spans="1:38" s="8" customFormat="1" ht="3.75" customHeight="1" thickBot="1" x14ac:dyDescent="0.3">
      <c r="A2" s="830"/>
      <c r="B2" s="830"/>
      <c r="C2" s="830"/>
      <c r="D2" s="830"/>
      <c r="E2" s="830"/>
      <c r="F2" s="830"/>
      <c r="G2" s="830"/>
      <c r="H2" s="830"/>
      <c r="I2" s="830"/>
      <c r="J2" s="830"/>
      <c r="K2" s="830"/>
      <c r="L2" s="830"/>
      <c r="M2" s="830"/>
      <c r="N2" s="830"/>
      <c r="O2" s="830"/>
      <c r="P2" s="830"/>
      <c r="Q2" s="830"/>
      <c r="R2" s="830"/>
      <c r="S2" s="830"/>
      <c r="T2" s="830"/>
    </row>
    <row r="3" spans="1:38" ht="12.75" customHeight="1" thickBot="1" x14ac:dyDescent="0.3">
      <c r="A3" s="717" t="s">
        <v>90</v>
      </c>
      <c r="B3" s="718"/>
      <c r="C3" s="718"/>
      <c r="D3" s="718"/>
      <c r="E3" s="718"/>
      <c r="F3" s="718" t="s">
        <v>89</v>
      </c>
      <c r="G3" s="718"/>
      <c r="H3" s="719"/>
      <c r="I3" s="831"/>
      <c r="J3" s="797" t="s">
        <v>272</v>
      </c>
      <c r="K3" s="798"/>
      <c r="L3" s="798"/>
      <c r="M3" s="798"/>
      <c r="N3" s="798"/>
      <c r="O3" s="798"/>
      <c r="P3" s="798"/>
      <c r="Q3" s="798"/>
      <c r="R3" s="798"/>
      <c r="S3" s="798"/>
      <c r="T3" s="799"/>
      <c r="V3" s="1"/>
      <c r="W3" s="1"/>
      <c r="X3" s="1"/>
      <c r="Z3" s="130"/>
      <c r="AA3" s="130"/>
      <c r="AB3" s="130"/>
      <c r="AC3" s="130"/>
      <c r="AD3" s="130"/>
      <c r="AE3" s="130"/>
    </row>
    <row r="4" spans="1:38" s="1" customFormat="1" ht="12.75" customHeight="1" x14ac:dyDescent="0.25">
      <c r="A4" s="806" t="s">
        <v>181</v>
      </c>
      <c r="B4" s="807"/>
      <c r="C4" s="807"/>
      <c r="D4" s="807"/>
      <c r="E4" s="354">
        <f>total_sdc</f>
        <v>0</v>
      </c>
      <c r="F4" s="807" t="s">
        <v>181</v>
      </c>
      <c r="G4" s="807"/>
      <c r="H4" s="353">
        <f>total_hp</f>
        <v>0</v>
      </c>
      <c r="I4" s="831"/>
      <c r="J4" s="800" t="s">
        <v>271</v>
      </c>
      <c r="K4" s="801"/>
      <c r="L4" s="801"/>
      <c r="M4" s="801"/>
      <c r="N4" s="801"/>
      <c r="O4" s="801"/>
      <c r="P4" s="802"/>
      <c r="Q4" s="788" t="s">
        <v>290</v>
      </c>
      <c r="R4" s="789"/>
      <c r="S4" s="788" t="s">
        <v>291</v>
      </c>
      <c r="T4" s="791"/>
      <c r="Y4" s="88"/>
      <c r="Z4" s="130"/>
      <c r="AA4" s="130"/>
      <c r="AB4" s="129"/>
      <c r="AC4" s="130"/>
      <c r="AD4" s="130"/>
      <c r="AE4" s="129"/>
      <c r="AF4" s="88"/>
      <c r="AG4" s="88"/>
      <c r="AH4" s="88"/>
    </row>
    <row r="5" spans="1:38" s="1" customFormat="1" ht="12.75" customHeight="1" x14ac:dyDescent="0.25">
      <c r="A5" s="759" t="s">
        <v>285</v>
      </c>
      <c r="B5" s="760"/>
      <c r="C5" s="760"/>
      <c r="D5" s="760"/>
      <c r="E5" s="232"/>
      <c r="F5" s="760" t="s">
        <v>288</v>
      </c>
      <c r="G5" s="760"/>
      <c r="H5" s="233"/>
      <c r="I5" s="831"/>
      <c r="J5" s="803"/>
      <c r="K5" s="804"/>
      <c r="L5" s="804"/>
      <c r="M5" s="804"/>
      <c r="N5" s="804"/>
      <c r="O5" s="804"/>
      <c r="P5" s="805"/>
      <c r="Q5" s="790"/>
      <c r="R5" s="790"/>
      <c r="S5" s="792"/>
      <c r="T5" s="793"/>
      <c r="Y5" s="88"/>
      <c r="AG5" s="88"/>
      <c r="AH5" s="88"/>
    </row>
    <row r="6" spans="1:38" ht="12.75" customHeight="1" thickBot="1" x14ac:dyDescent="0.3">
      <c r="A6" s="825" t="s">
        <v>194</v>
      </c>
      <c r="B6" s="826"/>
      <c r="C6" s="826"/>
      <c r="D6" s="826"/>
      <c r="E6" s="355">
        <f>E4-E5</f>
        <v>0</v>
      </c>
      <c r="F6" s="826" t="s">
        <v>194</v>
      </c>
      <c r="G6" s="826"/>
      <c r="H6" s="356">
        <f>IF(E6&lt;0, H4-H5+E6, H4-H5)</f>
        <v>0</v>
      </c>
      <c r="I6" s="831"/>
      <c r="J6" s="810"/>
      <c r="K6" s="811"/>
      <c r="L6" s="795" t="s">
        <v>269</v>
      </c>
      <c r="M6" s="795"/>
      <c r="N6" s="795"/>
      <c r="O6" s="795"/>
      <c r="P6" s="795"/>
      <c r="Q6" s="727" t="str">
        <f>IF(Combat!AH3=TRUE, Combat!AI3, "")</f>
        <v>1D4+0</v>
      </c>
      <c r="R6" s="727"/>
      <c r="S6" s="727" t="str">
        <f>IF(Combat!AH3=TRUE, Combat!AJ3, "")</f>
        <v>2D4+0</v>
      </c>
      <c r="T6" s="794"/>
      <c r="V6" s="1"/>
      <c r="W6" s="1"/>
      <c r="X6" s="1"/>
    </row>
    <row r="7" spans="1:38" ht="12.75" customHeight="1" thickBot="1" x14ac:dyDescent="0.3">
      <c r="A7" s="797" t="s">
        <v>287</v>
      </c>
      <c r="B7" s="798"/>
      <c r="C7" s="798"/>
      <c r="D7" s="798"/>
      <c r="E7" s="798"/>
      <c r="F7" s="798"/>
      <c r="G7" s="798"/>
      <c r="H7" s="799"/>
      <c r="I7" s="831"/>
      <c r="J7" s="707"/>
      <c r="K7" s="708"/>
      <c r="L7" s="795" t="s">
        <v>218</v>
      </c>
      <c r="M7" s="795"/>
      <c r="N7" s="795"/>
      <c r="O7" s="795"/>
      <c r="P7" s="795"/>
      <c r="Q7" s="727" t="str">
        <f>IF(Combat!AH4=TRUE, Combat!AI4, "")</f>
        <v/>
      </c>
      <c r="R7" s="727"/>
      <c r="S7" s="727" t="str">
        <f>IF(Combat!AH4=TRUE, Combat!AJ4, "")</f>
        <v/>
      </c>
      <c r="T7" s="794"/>
      <c r="V7" s="1"/>
      <c r="W7" s="1"/>
      <c r="X7" s="1"/>
    </row>
    <row r="8" spans="1:38" ht="12.75" customHeight="1" thickBot="1" x14ac:dyDescent="0.3">
      <c r="A8" s="823" t="s">
        <v>164</v>
      </c>
      <c r="B8" s="824"/>
      <c r="C8" s="824"/>
      <c r="D8" s="824"/>
      <c r="E8" s="351" t="str">
        <f>IF(hf="", "", hf)</f>
        <v/>
      </c>
      <c r="F8" s="824" t="s">
        <v>284</v>
      </c>
      <c r="G8" s="824"/>
      <c r="H8" s="352" t="str">
        <f>IF(nar="", "", nar)</f>
        <v/>
      </c>
      <c r="I8" s="831"/>
      <c r="J8" s="707"/>
      <c r="K8" s="708"/>
      <c r="L8" s="795" t="s">
        <v>267</v>
      </c>
      <c r="M8" s="795"/>
      <c r="N8" s="795"/>
      <c r="O8" s="795"/>
      <c r="P8" s="795"/>
      <c r="Q8" s="727" t="str">
        <f>IF(Combat!AH5=TRUE, Combat!AI5, "")</f>
        <v/>
      </c>
      <c r="R8" s="727"/>
      <c r="S8" s="727" t="str">
        <f>IF(Combat!AH5=TRUE, Combat!AJ5, "")</f>
        <v/>
      </c>
      <c r="T8" s="794"/>
      <c r="V8" s="1"/>
      <c r="W8" s="1"/>
      <c r="X8" s="1"/>
      <c r="AB8" s="133"/>
      <c r="AC8" s="133"/>
      <c r="AI8" s="1"/>
      <c r="AJ8" s="1"/>
      <c r="AK8" s="1"/>
      <c r="AL8" s="1"/>
    </row>
    <row r="9" spans="1:38" ht="12.75" customHeight="1" thickBot="1" x14ac:dyDescent="0.3">
      <c r="A9" s="717" t="s">
        <v>131</v>
      </c>
      <c r="B9" s="718"/>
      <c r="C9" s="718"/>
      <c r="D9" s="718"/>
      <c r="E9" s="718"/>
      <c r="F9" s="718"/>
      <c r="G9" s="718"/>
      <c r="H9" s="719"/>
      <c r="I9" s="831"/>
      <c r="J9" s="707"/>
      <c r="K9" s="708"/>
      <c r="L9" s="795" t="s">
        <v>219</v>
      </c>
      <c r="M9" s="795"/>
      <c r="N9" s="795"/>
      <c r="O9" s="795"/>
      <c r="P9" s="795"/>
      <c r="Q9" s="727" t="str">
        <f>IF(Combat!AH6=TRUE, Combat!AI6, "")</f>
        <v/>
      </c>
      <c r="R9" s="727"/>
      <c r="S9" s="727" t="str">
        <f>IF(Combat!AH6=TRUE, Combat!AJ6, "")</f>
        <v/>
      </c>
      <c r="T9" s="794"/>
      <c r="V9" s="1"/>
      <c r="W9" s="1"/>
      <c r="X9" s="1"/>
      <c r="AI9" s="1"/>
      <c r="AJ9" s="1"/>
      <c r="AK9" s="1"/>
      <c r="AL9" s="1"/>
    </row>
    <row r="10" spans="1:38" ht="12.75" customHeight="1" thickBot="1" x14ac:dyDescent="0.3">
      <c r="A10" s="808" t="s">
        <v>87</v>
      </c>
      <c r="B10" s="809"/>
      <c r="C10" s="809"/>
      <c r="D10" s="809"/>
      <c r="E10" s="812" t="str">
        <f>IF(hth="", "None", hth)</f>
        <v>None</v>
      </c>
      <c r="F10" s="812"/>
      <c r="G10" s="812"/>
      <c r="H10" s="813"/>
      <c r="I10" s="831"/>
      <c r="J10" s="707"/>
      <c r="K10" s="708"/>
      <c r="L10" s="795" t="s">
        <v>220</v>
      </c>
      <c r="M10" s="795"/>
      <c r="N10" s="795"/>
      <c r="O10" s="795"/>
      <c r="P10" s="795"/>
      <c r="Q10" s="727" t="str">
        <f>IF(Combat!AH7=TRUE, Combat!AI7, "")</f>
        <v/>
      </c>
      <c r="R10" s="727"/>
      <c r="S10" s="727" t="str">
        <f>IF(Combat!AH7=TRUE, Combat!AJ7, "")</f>
        <v/>
      </c>
      <c r="T10" s="794"/>
      <c r="V10" s="1"/>
      <c r="W10" s="1"/>
      <c r="X10" s="1"/>
      <c r="AH10" s="132"/>
      <c r="AI10" s="10"/>
      <c r="AJ10" s="1"/>
      <c r="AK10" s="1"/>
      <c r="AL10" s="1"/>
    </row>
    <row r="11" spans="1:38" ht="12.75" customHeight="1" x14ac:dyDescent="0.25">
      <c r="A11" s="814" t="s">
        <v>86</v>
      </c>
      <c r="B11" s="815"/>
      <c r="C11" s="815"/>
      <c r="D11" s="815"/>
      <c r="E11" s="816"/>
      <c r="F11" s="814" t="s">
        <v>261</v>
      </c>
      <c r="G11" s="815"/>
      <c r="H11" s="816"/>
      <c r="I11" s="831"/>
      <c r="J11" s="707"/>
      <c r="K11" s="708"/>
      <c r="L11" s="795" t="s">
        <v>270</v>
      </c>
      <c r="M11" s="795"/>
      <c r="N11" s="795"/>
      <c r="O11" s="795"/>
      <c r="P11" s="795"/>
      <c r="Q11" s="727" t="str">
        <f>IF(Combat!AH8=TRUE, Combat!AI8, "")</f>
        <v/>
      </c>
      <c r="R11" s="727"/>
      <c r="S11" s="727" t="str">
        <f>IF(Combat!AH8=TRUE, Combat!AJ8, "")</f>
        <v/>
      </c>
      <c r="T11" s="794"/>
      <c r="V11" s="1"/>
      <c r="W11" s="1"/>
      <c r="X11" s="1"/>
      <c r="AH11" s="130"/>
      <c r="AI11" s="88"/>
      <c r="AJ11" s="88"/>
      <c r="AK11" s="1"/>
      <c r="AL11" s="1"/>
    </row>
    <row r="12" spans="1:38" ht="12.75" customHeight="1" x14ac:dyDescent="0.25">
      <c r="A12" s="796" t="s">
        <v>120</v>
      </c>
      <c r="B12" s="795"/>
      <c r="C12" s="795"/>
      <c r="D12" s="795"/>
      <c r="E12" s="348">
        <f>total_attacks</f>
        <v>0</v>
      </c>
      <c r="F12" s="796" t="s">
        <v>74</v>
      </c>
      <c r="G12" s="795"/>
      <c r="H12" s="348">
        <f>save_coma</f>
        <v>0</v>
      </c>
      <c r="I12" s="831"/>
      <c r="J12" s="707"/>
      <c r="K12" s="708"/>
      <c r="L12" s="795" t="s">
        <v>230</v>
      </c>
      <c r="M12" s="795"/>
      <c r="N12" s="795"/>
      <c r="O12" s="795"/>
      <c r="P12" s="795"/>
      <c r="Q12" s="727" t="str">
        <f>IF(Combat!AH9=TRUE, Combat!AI9, "")</f>
        <v/>
      </c>
      <c r="R12" s="727"/>
      <c r="S12" s="727" t="str">
        <f>IF(Combat!AH9=TRUE, Combat!AJ9, "")</f>
        <v/>
      </c>
      <c r="T12" s="794"/>
      <c r="V12" s="1"/>
      <c r="W12" s="1"/>
      <c r="X12" s="1"/>
      <c r="AB12" s="133"/>
      <c r="AC12" s="133"/>
      <c r="AL12" s="1"/>
    </row>
    <row r="13" spans="1:38" ht="12.75" customHeight="1" x14ac:dyDescent="0.25">
      <c r="A13" s="796" t="s">
        <v>91</v>
      </c>
      <c r="B13" s="795"/>
      <c r="C13" s="795"/>
      <c r="D13" s="795"/>
      <c r="E13" s="348">
        <f>total_initiative</f>
        <v>0</v>
      </c>
      <c r="F13" s="796" t="s">
        <v>162</v>
      </c>
      <c r="G13" s="795"/>
      <c r="H13" s="348">
        <f>save_poison</f>
        <v>0</v>
      </c>
      <c r="I13" s="831"/>
      <c r="J13" s="707"/>
      <c r="K13" s="708"/>
      <c r="L13" s="795" t="s">
        <v>231</v>
      </c>
      <c r="M13" s="795"/>
      <c r="N13" s="795"/>
      <c r="O13" s="795"/>
      <c r="P13" s="795"/>
      <c r="Q13" s="727" t="str">
        <f>IF(Combat!AH10=TRUE, Combat!AI10, "")</f>
        <v/>
      </c>
      <c r="R13" s="727"/>
      <c r="S13" s="727" t="str">
        <f>IF(Combat!AH10=TRUE, Combat!AJ10, "")</f>
        <v/>
      </c>
      <c r="T13" s="794"/>
      <c r="V13" s="1"/>
      <c r="W13" s="1"/>
      <c r="X13" s="1"/>
      <c r="AB13" s="133"/>
      <c r="AC13" s="133"/>
      <c r="AL13" s="1"/>
    </row>
    <row r="14" spans="1:38" ht="12.75" customHeight="1" x14ac:dyDescent="0.25">
      <c r="A14" s="796" t="s">
        <v>92</v>
      </c>
      <c r="B14" s="795"/>
      <c r="C14" s="795"/>
      <c r="D14" s="795"/>
      <c r="E14" s="348">
        <f>total_strike</f>
        <v>0</v>
      </c>
      <c r="F14" s="796" t="s">
        <v>164</v>
      </c>
      <c r="G14" s="795"/>
      <c r="H14" s="348">
        <f>save_hf</f>
        <v>0</v>
      </c>
      <c r="I14" s="831"/>
      <c r="J14" s="707"/>
      <c r="K14" s="708"/>
      <c r="L14" s="795" t="s">
        <v>221</v>
      </c>
      <c r="M14" s="795"/>
      <c r="N14" s="795"/>
      <c r="O14" s="795"/>
      <c r="P14" s="795"/>
      <c r="Q14" s="727" t="str">
        <f>IF(Combat!AH11=TRUE, Combat!AI11, "")</f>
        <v/>
      </c>
      <c r="R14" s="727"/>
      <c r="S14" s="727" t="str">
        <f>IF(Combat!AH11=TRUE, Combat!AJ11, "")</f>
        <v/>
      </c>
      <c r="T14" s="794"/>
      <c r="V14" s="1"/>
      <c r="W14" s="1"/>
      <c r="X14" s="1"/>
      <c r="AB14" s="133"/>
      <c r="AC14" s="133"/>
      <c r="AL14" s="1"/>
    </row>
    <row r="15" spans="1:38" ht="12.75" customHeight="1" x14ac:dyDescent="0.25">
      <c r="A15" s="796" t="s">
        <v>93</v>
      </c>
      <c r="B15" s="795"/>
      <c r="C15" s="795"/>
      <c r="D15" s="795"/>
      <c r="E15" s="348">
        <f>total_parry</f>
        <v>0</v>
      </c>
      <c r="F15" s="796" t="s">
        <v>274</v>
      </c>
      <c r="G15" s="795"/>
      <c r="H15" s="348">
        <f>save_element</f>
        <v>0</v>
      </c>
      <c r="I15" s="831"/>
      <c r="J15" s="707"/>
      <c r="K15" s="708"/>
      <c r="L15" s="795" t="s">
        <v>223</v>
      </c>
      <c r="M15" s="795"/>
      <c r="N15" s="795"/>
      <c r="O15" s="795"/>
      <c r="P15" s="795"/>
      <c r="Q15" s="727" t="str">
        <f>IF(Combat!AH12=TRUE, Combat!AI12, "")</f>
        <v/>
      </c>
      <c r="R15" s="727"/>
      <c r="S15" s="727" t="str">
        <f>IF(Combat!AH12=TRUE, Combat!AJ12, "")</f>
        <v/>
      </c>
      <c r="T15" s="794"/>
      <c r="V15" s="1"/>
      <c r="W15" s="1"/>
      <c r="X15" s="1"/>
      <c r="AB15" s="133"/>
      <c r="AC15" s="133"/>
      <c r="AL15" s="1"/>
    </row>
    <row r="16" spans="1:38" ht="12.75" customHeight="1" x14ac:dyDescent="0.25">
      <c r="A16" s="796" t="s">
        <v>94</v>
      </c>
      <c r="B16" s="795"/>
      <c r="C16" s="795"/>
      <c r="D16" s="795"/>
      <c r="E16" s="348">
        <f>total_dodge</f>
        <v>0</v>
      </c>
      <c r="F16" s="796" t="s">
        <v>78</v>
      </c>
      <c r="G16" s="795"/>
      <c r="H16" s="348">
        <f>save_psi</f>
        <v>0</v>
      </c>
      <c r="I16" s="831"/>
      <c r="J16" s="707"/>
      <c r="K16" s="708"/>
      <c r="L16" s="795" t="s">
        <v>224</v>
      </c>
      <c r="M16" s="795"/>
      <c r="N16" s="795"/>
      <c r="O16" s="795"/>
      <c r="P16" s="795"/>
      <c r="Q16" s="727" t="str">
        <f>IF(Combat!AH13=TRUE, Combat!AI13, "")</f>
        <v/>
      </c>
      <c r="R16" s="727"/>
      <c r="S16" s="727" t="str">
        <f>IF(Combat!AH13=TRUE, Combat!AJ13, "")</f>
        <v/>
      </c>
      <c r="T16" s="794"/>
      <c r="V16" s="1"/>
      <c r="W16" s="1"/>
      <c r="AB16" s="136"/>
      <c r="AC16" s="136"/>
      <c r="AD16" s="134"/>
      <c r="AE16" s="134"/>
      <c r="AF16" s="134"/>
      <c r="AG16" s="134"/>
      <c r="AH16" s="134"/>
      <c r="AI16" s="134"/>
      <c r="AJ16" s="134"/>
      <c r="AK16" s="134"/>
      <c r="AL16" s="1"/>
    </row>
    <row r="17" spans="1:38" ht="12.75" customHeight="1" x14ac:dyDescent="0.25">
      <c r="A17" s="796" t="s">
        <v>95</v>
      </c>
      <c r="B17" s="795"/>
      <c r="C17" s="795"/>
      <c r="D17" s="795"/>
      <c r="E17" s="348">
        <f>total_roll</f>
        <v>0</v>
      </c>
      <c r="F17" s="796" t="s">
        <v>79</v>
      </c>
      <c r="G17" s="795"/>
      <c r="H17" s="348">
        <f>save_magic</f>
        <v>0</v>
      </c>
      <c r="I17" s="831"/>
      <c r="J17" s="707"/>
      <c r="K17" s="708"/>
      <c r="L17" s="795" t="s">
        <v>227</v>
      </c>
      <c r="M17" s="795"/>
      <c r="N17" s="795"/>
      <c r="O17" s="795"/>
      <c r="P17" s="795"/>
      <c r="Q17" s="727" t="str">
        <f>IF(Combat!AH14=TRUE, Combat!AI14, "")</f>
        <v/>
      </c>
      <c r="R17" s="727"/>
      <c r="S17" s="727" t="str">
        <f>IF(Combat!AH14=TRUE, Combat!AJ14, "")</f>
        <v/>
      </c>
      <c r="T17" s="794"/>
      <c r="V17" s="1"/>
      <c r="W17" s="1"/>
      <c r="AB17" s="134"/>
      <c r="AC17" s="134"/>
      <c r="AD17" s="134"/>
      <c r="AE17" s="134"/>
      <c r="AF17" s="134"/>
      <c r="AG17" s="134"/>
      <c r="AH17" s="134"/>
      <c r="AI17" s="134"/>
      <c r="AJ17" s="134"/>
      <c r="AK17" s="134"/>
      <c r="AL17" s="1"/>
    </row>
    <row r="18" spans="1:38" ht="12.75" customHeight="1" x14ac:dyDescent="0.25">
      <c r="A18" s="796" t="s">
        <v>96</v>
      </c>
      <c r="B18" s="795"/>
      <c r="C18" s="795"/>
      <c r="D18" s="795"/>
      <c r="E18" s="348">
        <f>total_pull</f>
        <v>0</v>
      </c>
      <c r="F18" s="796" t="s">
        <v>273</v>
      </c>
      <c r="G18" s="795"/>
      <c r="H18" s="348">
        <f>save_faerie</f>
        <v>0</v>
      </c>
      <c r="I18" s="831"/>
      <c r="J18" s="707"/>
      <c r="K18" s="708"/>
      <c r="L18" s="795" t="s">
        <v>228</v>
      </c>
      <c r="M18" s="795"/>
      <c r="N18" s="795"/>
      <c r="O18" s="795"/>
      <c r="P18" s="795"/>
      <c r="Q18" s="727" t="str">
        <f>IF(Combat!AH15=TRUE, Combat!AI15, "")</f>
        <v/>
      </c>
      <c r="R18" s="727"/>
      <c r="S18" s="727" t="str">
        <f>IF(Combat!AH15=TRUE, Combat!AJ15, "")</f>
        <v/>
      </c>
      <c r="T18" s="794"/>
      <c r="V18" s="1"/>
      <c r="W18" s="1"/>
      <c r="AB18" s="134"/>
      <c r="AC18" s="135"/>
      <c r="AD18" s="135"/>
      <c r="AE18" s="135"/>
      <c r="AF18" s="135"/>
      <c r="AG18" s="135"/>
      <c r="AH18" s="135"/>
      <c r="AI18" s="135"/>
      <c r="AJ18" s="135"/>
      <c r="AK18" s="134"/>
      <c r="AL18" s="1"/>
    </row>
    <row r="19" spans="1:38" ht="12.75" customHeight="1" x14ac:dyDescent="0.25">
      <c r="A19" s="796" t="s">
        <v>97</v>
      </c>
      <c r="B19" s="795"/>
      <c r="C19" s="795"/>
      <c r="D19" s="795"/>
      <c r="E19" s="348">
        <f>total_damage</f>
        <v>0</v>
      </c>
      <c r="F19" s="796" t="s">
        <v>77</v>
      </c>
      <c r="G19" s="795"/>
      <c r="H19" s="348">
        <f>save_possess</f>
        <v>0</v>
      </c>
      <c r="I19" s="831"/>
      <c r="J19" s="707"/>
      <c r="K19" s="708"/>
      <c r="L19" s="795" t="s">
        <v>222</v>
      </c>
      <c r="M19" s="795"/>
      <c r="N19" s="795"/>
      <c r="O19" s="795"/>
      <c r="P19" s="795"/>
      <c r="Q19" s="727" t="str">
        <f>IF(Combat!AH16=TRUE, Combat!AI16, "")</f>
        <v/>
      </c>
      <c r="R19" s="727"/>
      <c r="S19" s="728" t="s">
        <v>123</v>
      </c>
      <c r="T19" s="729"/>
      <c r="V19" s="1"/>
      <c r="W19" s="1"/>
      <c r="AB19" s="134"/>
      <c r="AC19" s="134"/>
      <c r="AD19" s="134"/>
      <c r="AE19" s="134"/>
      <c r="AF19" s="134"/>
      <c r="AG19" s="134"/>
      <c r="AH19" s="134"/>
      <c r="AI19" s="134"/>
      <c r="AJ19" s="134"/>
      <c r="AK19" s="134"/>
      <c r="AL19" s="1"/>
    </row>
    <row r="20" spans="1:38" ht="12.75" customHeight="1" x14ac:dyDescent="0.25">
      <c r="A20" s="796" t="s">
        <v>98</v>
      </c>
      <c r="B20" s="795"/>
      <c r="C20" s="795"/>
      <c r="D20" s="795"/>
      <c r="E20" s="348">
        <f>crit</f>
        <v>20</v>
      </c>
      <c r="F20" s="796" t="s">
        <v>82</v>
      </c>
      <c r="G20" s="795"/>
      <c r="H20" s="348">
        <f>save_insane</f>
        <v>0</v>
      </c>
      <c r="I20" s="831"/>
      <c r="J20" s="707"/>
      <c r="K20" s="708"/>
      <c r="L20" s="795" t="s">
        <v>242</v>
      </c>
      <c r="M20" s="795"/>
      <c r="N20" s="795"/>
      <c r="O20" s="795"/>
      <c r="P20" s="795"/>
      <c r="Q20" s="727" t="str">
        <f>IF(Combat!AH17=TRUE, Combat!AI17, "")</f>
        <v/>
      </c>
      <c r="R20" s="727"/>
      <c r="S20" s="728" t="s">
        <v>123</v>
      </c>
      <c r="T20" s="729"/>
      <c r="V20" s="1"/>
      <c r="W20" s="1"/>
      <c r="AB20" s="134"/>
      <c r="AC20" s="134"/>
      <c r="AD20" s="134"/>
      <c r="AE20" s="134"/>
      <c r="AF20" s="134"/>
      <c r="AG20" s="134"/>
      <c r="AH20" s="134"/>
      <c r="AI20" s="134"/>
      <c r="AJ20" s="134"/>
      <c r="AK20" s="134"/>
      <c r="AL20" s="1"/>
    </row>
    <row r="21" spans="1:38" ht="12.75" customHeight="1" x14ac:dyDescent="0.25">
      <c r="A21" s="796" t="s">
        <v>99</v>
      </c>
      <c r="B21" s="795"/>
      <c r="C21" s="795"/>
      <c r="D21" s="795"/>
      <c r="E21" s="348" t="str">
        <f>IF(ko="", "", ko)</f>
        <v/>
      </c>
      <c r="F21" s="796" t="s">
        <v>163</v>
      </c>
      <c r="G21" s="795"/>
      <c r="H21" s="348">
        <f>save_disease</f>
        <v>0</v>
      </c>
      <c r="I21" s="831"/>
      <c r="J21" s="707"/>
      <c r="K21" s="708"/>
      <c r="L21" s="795" t="s">
        <v>229</v>
      </c>
      <c r="M21" s="795"/>
      <c r="N21" s="795"/>
      <c r="O21" s="795"/>
      <c r="P21" s="795"/>
      <c r="Q21" s="727" t="str">
        <f>IF(Combat!AH18=TRUE, Combat!AI18, "")</f>
        <v/>
      </c>
      <c r="R21" s="727"/>
      <c r="S21" s="728" t="s">
        <v>123</v>
      </c>
      <c r="T21" s="729"/>
      <c r="V21" s="1"/>
      <c r="W21" s="1"/>
      <c r="AB21" s="134"/>
      <c r="AC21" s="134"/>
      <c r="AD21" s="134"/>
      <c r="AE21" s="134"/>
      <c r="AF21" s="134"/>
      <c r="AG21" s="134"/>
      <c r="AH21" s="134"/>
      <c r="AI21" s="134"/>
      <c r="AJ21" s="134"/>
      <c r="AK21" s="134"/>
      <c r="AL21" s="1"/>
    </row>
    <row r="22" spans="1:38" ht="12.75" customHeight="1" thickBot="1" x14ac:dyDescent="0.3">
      <c r="A22" s="817" t="s">
        <v>100</v>
      </c>
      <c r="B22" s="730"/>
      <c r="C22" s="730"/>
      <c r="D22" s="730"/>
      <c r="E22" s="349" t="str">
        <f>IF(db="", "", db)</f>
        <v/>
      </c>
      <c r="F22" s="796" t="s">
        <v>275</v>
      </c>
      <c r="G22" s="795"/>
      <c r="H22" s="348">
        <f>save_illusion</f>
        <v>0</v>
      </c>
      <c r="I22" s="831"/>
      <c r="J22" s="707"/>
      <c r="K22" s="708"/>
      <c r="L22" s="795" t="s">
        <v>239</v>
      </c>
      <c r="M22" s="795"/>
      <c r="N22" s="795"/>
      <c r="O22" s="795"/>
      <c r="P22" s="795"/>
      <c r="Q22" s="727" t="str">
        <f>IF(Combat!AH19=TRUE, Combat!AI19, "")</f>
        <v/>
      </c>
      <c r="R22" s="727"/>
      <c r="S22" s="728" t="s">
        <v>123</v>
      </c>
      <c r="T22" s="729"/>
      <c r="V22" s="1"/>
      <c r="W22" s="1"/>
      <c r="AI22" s="1"/>
      <c r="AJ22" s="1"/>
      <c r="AK22" s="1"/>
      <c r="AL22" s="1"/>
    </row>
    <row r="23" spans="1:38" ht="12.75" customHeight="1" thickBot="1" x14ac:dyDescent="0.3">
      <c r="A23" s="722"/>
      <c r="B23" s="722"/>
      <c r="C23" s="722"/>
      <c r="D23" s="722"/>
      <c r="E23" s="723"/>
      <c r="F23" s="818" t="s">
        <v>276</v>
      </c>
      <c r="G23" s="819"/>
      <c r="H23" s="350">
        <f>save_control</f>
        <v>0</v>
      </c>
      <c r="I23" s="831"/>
      <c r="J23" s="709"/>
      <c r="K23" s="710"/>
      <c r="L23" s="730" t="s">
        <v>268</v>
      </c>
      <c r="M23" s="730"/>
      <c r="N23" s="730"/>
      <c r="O23" s="730"/>
      <c r="P23" s="730"/>
      <c r="Q23" s="724" t="str">
        <f>IF(Combat!AH20=TRUE, Combat!AI20, "")</f>
        <v/>
      </c>
      <c r="R23" s="724"/>
      <c r="S23" s="725" t="s">
        <v>123</v>
      </c>
      <c r="T23" s="726"/>
      <c r="V23" s="1"/>
      <c r="W23" s="1"/>
      <c r="AI23" s="1"/>
      <c r="AJ23" s="1"/>
      <c r="AK23" s="1"/>
      <c r="AL23" s="1"/>
    </row>
    <row r="24" spans="1:38" ht="3.75" customHeight="1" thickBot="1" x14ac:dyDescent="0.3">
      <c r="A24" s="832"/>
      <c r="B24" s="832"/>
      <c r="C24" s="832"/>
      <c r="D24" s="832"/>
      <c r="E24" s="832"/>
      <c r="F24" s="832"/>
      <c r="G24" s="832"/>
      <c r="H24" s="832"/>
      <c r="I24" s="832"/>
      <c r="J24" s="832"/>
      <c r="K24" s="832"/>
      <c r="L24" s="832"/>
      <c r="M24" s="832"/>
      <c r="N24" s="832"/>
      <c r="O24" s="832"/>
      <c r="P24" s="832"/>
      <c r="Q24" s="832"/>
      <c r="R24" s="832"/>
      <c r="S24" s="832"/>
      <c r="T24" s="832"/>
      <c r="V24" s="1"/>
      <c r="W24" s="1"/>
      <c r="AC24" s="133"/>
      <c r="AD24" s="133"/>
      <c r="AE24" s="133"/>
      <c r="AF24" s="133"/>
      <c r="AI24" s="1"/>
      <c r="AJ24" s="1"/>
      <c r="AK24" s="1"/>
      <c r="AL24" s="1"/>
    </row>
    <row r="25" spans="1:38" ht="12.75" customHeight="1" thickBot="1" x14ac:dyDescent="0.3">
      <c r="A25" s="717" t="s">
        <v>259</v>
      </c>
      <c r="B25" s="718"/>
      <c r="C25" s="718"/>
      <c r="D25" s="718"/>
      <c r="E25" s="718"/>
      <c r="F25" s="718"/>
      <c r="G25" s="718"/>
      <c r="H25" s="718"/>
      <c r="I25" s="718"/>
      <c r="J25" s="718"/>
      <c r="K25" s="718"/>
      <c r="L25" s="718"/>
      <c r="M25" s="718"/>
      <c r="N25" s="718"/>
      <c r="O25" s="718"/>
      <c r="P25" s="718"/>
      <c r="Q25" s="718"/>
      <c r="R25" s="718"/>
      <c r="S25" s="718"/>
      <c r="T25" s="719"/>
      <c r="V25" s="1"/>
      <c r="W25" s="1"/>
      <c r="AC25" s="133"/>
      <c r="AD25" s="133"/>
      <c r="AE25" s="133"/>
      <c r="AF25" s="133"/>
      <c r="AI25" s="1"/>
      <c r="AJ25" s="1"/>
      <c r="AK25" s="1"/>
      <c r="AL25" s="1"/>
    </row>
    <row r="26" spans="1:38" ht="12.75" customHeight="1" x14ac:dyDescent="0.25">
      <c r="A26" s="772" t="s">
        <v>191</v>
      </c>
      <c r="B26" s="773"/>
      <c r="C26" s="786"/>
      <c r="D26" s="786"/>
      <c r="E26" s="786"/>
      <c r="F26" s="787"/>
      <c r="G26" s="137" t="s">
        <v>92</v>
      </c>
      <c r="H26" s="234"/>
      <c r="I26" s="781" t="s">
        <v>93</v>
      </c>
      <c r="J26" s="782"/>
      <c r="K26" s="783"/>
      <c r="L26" s="711"/>
      <c r="M26" s="712"/>
      <c r="N26" s="777" t="s">
        <v>192</v>
      </c>
      <c r="O26" s="778"/>
      <c r="P26" s="234"/>
      <c r="Q26" s="774"/>
      <c r="R26" s="774"/>
      <c r="S26" s="774"/>
      <c r="T26" s="237"/>
      <c r="V26" s="1"/>
      <c r="W26" s="1"/>
      <c r="Z26" s="133"/>
      <c r="AA26" s="133"/>
      <c r="AB26" s="133"/>
      <c r="AC26" s="133"/>
      <c r="AD26" s="133"/>
      <c r="AE26" s="133"/>
      <c r="AF26" s="133"/>
      <c r="AI26" s="1"/>
      <c r="AJ26" s="1"/>
      <c r="AK26" s="1"/>
      <c r="AL26" s="1"/>
    </row>
    <row r="27" spans="1:38" ht="12.75" customHeight="1" x14ac:dyDescent="0.25">
      <c r="A27" s="772" t="s">
        <v>191</v>
      </c>
      <c r="B27" s="773"/>
      <c r="C27" s="731"/>
      <c r="D27" s="731"/>
      <c r="E27" s="731"/>
      <c r="F27" s="732"/>
      <c r="G27" s="138" t="s">
        <v>92</v>
      </c>
      <c r="H27" s="235"/>
      <c r="I27" s="754" t="s">
        <v>93</v>
      </c>
      <c r="J27" s="784"/>
      <c r="K27" s="755"/>
      <c r="L27" s="713"/>
      <c r="M27" s="714"/>
      <c r="N27" s="754" t="s">
        <v>192</v>
      </c>
      <c r="O27" s="755"/>
      <c r="P27" s="235"/>
      <c r="Q27" s="775"/>
      <c r="R27" s="775"/>
      <c r="S27" s="775"/>
      <c r="T27" s="238"/>
      <c r="V27" s="1"/>
      <c r="W27" s="1"/>
      <c r="Z27" s="133"/>
      <c r="AA27" s="133"/>
      <c r="AB27" s="133"/>
      <c r="AC27" s="133"/>
      <c r="AD27" s="133"/>
      <c r="AE27" s="133"/>
      <c r="AF27" s="133"/>
      <c r="AI27" s="1"/>
      <c r="AJ27" s="1"/>
      <c r="AK27" s="1"/>
      <c r="AL27" s="1"/>
    </row>
    <row r="28" spans="1:38" ht="12.75" customHeight="1" x14ac:dyDescent="0.25">
      <c r="A28" s="772" t="s">
        <v>191</v>
      </c>
      <c r="B28" s="773"/>
      <c r="C28" s="731"/>
      <c r="D28" s="731"/>
      <c r="E28" s="731"/>
      <c r="F28" s="732"/>
      <c r="G28" s="138" t="s">
        <v>92</v>
      </c>
      <c r="H28" s="235"/>
      <c r="I28" s="754" t="s">
        <v>93</v>
      </c>
      <c r="J28" s="784"/>
      <c r="K28" s="755"/>
      <c r="L28" s="713"/>
      <c r="M28" s="714"/>
      <c r="N28" s="754" t="s">
        <v>192</v>
      </c>
      <c r="O28" s="755"/>
      <c r="P28" s="235"/>
      <c r="Q28" s="775"/>
      <c r="R28" s="775"/>
      <c r="S28" s="775"/>
      <c r="T28" s="238"/>
      <c r="V28" s="1"/>
      <c r="W28" s="1"/>
    </row>
    <row r="29" spans="1:38" ht="12.75" customHeight="1" x14ac:dyDescent="0.25">
      <c r="A29" s="772" t="s">
        <v>191</v>
      </c>
      <c r="B29" s="773"/>
      <c r="C29" s="731"/>
      <c r="D29" s="731"/>
      <c r="E29" s="731"/>
      <c r="F29" s="732"/>
      <c r="G29" s="138" t="s">
        <v>92</v>
      </c>
      <c r="H29" s="235"/>
      <c r="I29" s="754" t="s">
        <v>93</v>
      </c>
      <c r="J29" s="784"/>
      <c r="K29" s="755"/>
      <c r="L29" s="713"/>
      <c r="M29" s="714"/>
      <c r="N29" s="754" t="s">
        <v>192</v>
      </c>
      <c r="O29" s="755"/>
      <c r="P29" s="235"/>
      <c r="Q29" s="775"/>
      <c r="R29" s="775"/>
      <c r="S29" s="775"/>
      <c r="T29" s="238"/>
      <c r="V29" s="1"/>
      <c r="W29" s="1"/>
    </row>
    <row r="30" spans="1:38" ht="12.75" customHeight="1" thickBot="1" x14ac:dyDescent="0.3">
      <c r="A30" s="720" t="s">
        <v>191</v>
      </c>
      <c r="B30" s="721"/>
      <c r="C30" s="779"/>
      <c r="D30" s="779"/>
      <c r="E30" s="779"/>
      <c r="F30" s="780"/>
      <c r="G30" s="139" t="s">
        <v>92</v>
      </c>
      <c r="H30" s="236"/>
      <c r="I30" s="756" t="s">
        <v>93</v>
      </c>
      <c r="J30" s="785"/>
      <c r="K30" s="757"/>
      <c r="L30" s="715"/>
      <c r="M30" s="716"/>
      <c r="N30" s="756" t="s">
        <v>192</v>
      </c>
      <c r="O30" s="757"/>
      <c r="P30" s="236"/>
      <c r="Q30" s="776"/>
      <c r="R30" s="776"/>
      <c r="S30" s="776"/>
      <c r="T30" s="239"/>
      <c r="V30" s="1"/>
      <c r="W30" s="1"/>
      <c r="X30" s="1"/>
      <c r="Z30" s="129"/>
      <c r="AA30" s="131"/>
      <c r="AB30" s="131"/>
    </row>
    <row r="31" spans="1:38" ht="3.75" customHeight="1" thickBot="1" x14ac:dyDescent="0.3">
      <c r="A31" s="833"/>
      <c r="B31" s="833"/>
      <c r="C31" s="833"/>
      <c r="D31" s="833"/>
      <c r="E31" s="833"/>
      <c r="F31" s="833"/>
      <c r="G31" s="833"/>
      <c r="H31" s="833"/>
      <c r="I31" s="833"/>
      <c r="J31" s="833"/>
      <c r="K31" s="833"/>
      <c r="L31" s="833"/>
      <c r="M31" s="833"/>
      <c r="N31" s="833"/>
      <c r="O31" s="833"/>
      <c r="P31" s="833"/>
      <c r="Q31" s="833"/>
      <c r="R31" s="833"/>
      <c r="S31" s="833"/>
      <c r="T31" s="833"/>
      <c r="V31" s="1"/>
      <c r="W31" s="1"/>
      <c r="X31" s="1"/>
      <c r="Z31" s="129"/>
      <c r="AA31" s="131"/>
      <c r="AB31" s="131"/>
    </row>
    <row r="32" spans="1:38" ht="12.75" customHeight="1" thickBot="1" x14ac:dyDescent="0.3">
      <c r="A32" s="717" t="s">
        <v>104</v>
      </c>
      <c r="B32" s="718"/>
      <c r="C32" s="718"/>
      <c r="D32" s="718"/>
      <c r="E32" s="718"/>
      <c r="F32" s="718"/>
      <c r="G32" s="718"/>
      <c r="H32" s="718"/>
      <c r="I32" s="718"/>
      <c r="J32" s="718"/>
      <c r="K32" s="718"/>
      <c r="L32" s="718"/>
      <c r="M32" s="718"/>
      <c r="N32" s="718"/>
      <c r="O32" s="718"/>
      <c r="P32" s="718"/>
      <c r="Q32" s="718"/>
      <c r="R32" s="718"/>
      <c r="S32" s="718"/>
      <c r="T32" s="719"/>
      <c r="V32" s="1"/>
      <c r="W32" s="1"/>
      <c r="X32" s="1"/>
      <c r="Z32" s="129"/>
      <c r="AA32" s="131"/>
      <c r="AB32" s="131"/>
      <c r="AC32" s="131"/>
      <c r="AD32" s="130"/>
      <c r="AE32" s="130"/>
      <c r="AF32" s="130"/>
      <c r="AG32" s="130"/>
    </row>
    <row r="33" spans="1:34" ht="12.75" customHeight="1" x14ac:dyDescent="0.25">
      <c r="A33" s="345"/>
      <c r="B33" s="827" t="s">
        <v>102</v>
      </c>
      <c r="C33" s="764"/>
      <c r="D33" s="769"/>
      <c r="E33" s="769"/>
      <c r="F33" s="769"/>
      <c r="G33" s="140" t="s">
        <v>105</v>
      </c>
      <c r="H33" s="240"/>
      <c r="I33" s="152" t="s">
        <v>90</v>
      </c>
      <c r="J33" s="153"/>
      <c r="K33" s="151"/>
      <c r="L33" s="711"/>
      <c r="M33" s="712"/>
      <c r="N33" s="770" t="s">
        <v>106</v>
      </c>
      <c r="O33" s="770"/>
      <c r="P33" s="770"/>
      <c r="Q33" s="769"/>
      <c r="R33" s="769"/>
      <c r="S33" s="769"/>
      <c r="T33" s="771"/>
      <c r="V33" s="1"/>
      <c r="W33" s="1"/>
      <c r="X33" s="1"/>
      <c r="Z33" s="129"/>
      <c r="AA33" s="131"/>
      <c r="AB33" s="131"/>
      <c r="AC33" s="131"/>
      <c r="AD33" s="130"/>
      <c r="AE33" s="130"/>
      <c r="AF33" s="130"/>
      <c r="AG33" s="130"/>
    </row>
    <row r="34" spans="1:34" ht="12.75" customHeight="1" x14ac:dyDescent="0.25">
      <c r="A34" s="346"/>
      <c r="B34" s="744" t="s">
        <v>277</v>
      </c>
      <c r="C34" s="745"/>
      <c r="D34" s="746"/>
      <c r="E34" s="750"/>
      <c r="F34" s="751"/>
      <c r="G34" s="751"/>
      <c r="H34" s="751"/>
      <c r="I34" s="751"/>
      <c r="J34" s="751"/>
      <c r="K34" s="751"/>
      <c r="L34" s="751"/>
      <c r="M34" s="751"/>
      <c r="N34" s="751"/>
      <c r="O34" s="751"/>
      <c r="P34" s="751"/>
      <c r="Q34" s="751"/>
      <c r="R34" s="751"/>
      <c r="S34" s="751"/>
      <c r="T34" s="752"/>
      <c r="V34" s="1"/>
      <c r="W34" s="1"/>
      <c r="X34" s="1"/>
      <c r="Z34" s="129"/>
      <c r="AA34" s="131"/>
      <c r="AB34" s="131"/>
      <c r="AC34" s="131"/>
      <c r="AD34" s="130"/>
      <c r="AE34" s="130"/>
      <c r="AF34" s="130"/>
      <c r="AG34" s="130"/>
    </row>
    <row r="35" spans="1:34" ht="12.75" customHeight="1" x14ac:dyDescent="0.25">
      <c r="A35" s="346"/>
      <c r="B35" s="744" t="s">
        <v>278</v>
      </c>
      <c r="C35" s="745"/>
      <c r="D35" s="746"/>
      <c r="E35" s="750"/>
      <c r="F35" s="751"/>
      <c r="G35" s="751"/>
      <c r="H35" s="751"/>
      <c r="I35" s="751"/>
      <c r="J35" s="751"/>
      <c r="K35" s="751"/>
      <c r="L35" s="751"/>
      <c r="M35" s="751"/>
      <c r="N35" s="751"/>
      <c r="O35" s="751"/>
      <c r="P35" s="751"/>
      <c r="Q35" s="751"/>
      <c r="R35" s="751"/>
      <c r="S35" s="751"/>
      <c r="T35" s="752"/>
      <c r="V35" s="1"/>
      <c r="W35" s="1"/>
      <c r="X35" s="1"/>
      <c r="Z35" s="129"/>
      <c r="AA35" s="131"/>
      <c r="AB35" s="131"/>
      <c r="AC35" s="131"/>
      <c r="AD35" s="130"/>
      <c r="AE35" s="130"/>
      <c r="AF35" s="130"/>
      <c r="AG35" s="130"/>
    </row>
    <row r="36" spans="1:34" ht="12.75" customHeight="1" x14ac:dyDescent="0.25">
      <c r="A36" s="346"/>
      <c r="B36" s="744" t="s">
        <v>279</v>
      </c>
      <c r="C36" s="745"/>
      <c r="D36" s="746"/>
      <c r="E36" s="750"/>
      <c r="F36" s="751"/>
      <c r="G36" s="751"/>
      <c r="H36" s="751"/>
      <c r="I36" s="751"/>
      <c r="J36" s="751"/>
      <c r="K36" s="751"/>
      <c r="L36" s="751"/>
      <c r="M36" s="751"/>
      <c r="N36" s="751"/>
      <c r="O36" s="751"/>
      <c r="P36" s="751"/>
      <c r="Q36" s="751"/>
      <c r="R36" s="751"/>
      <c r="S36" s="751"/>
      <c r="T36" s="752"/>
      <c r="V36" s="1"/>
      <c r="W36" s="1"/>
      <c r="X36" s="1"/>
      <c r="Z36" s="129"/>
      <c r="AA36" s="131"/>
      <c r="AB36" s="131"/>
      <c r="AC36" s="131"/>
      <c r="AD36" s="130"/>
      <c r="AE36" s="130"/>
      <c r="AF36" s="130"/>
      <c r="AG36" s="130"/>
    </row>
    <row r="37" spans="1:34" ht="12.75" customHeight="1" thickBot="1" x14ac:dyDescent="0.3">
      <c r="A37" s="346"/>
      <c r="B37" s="740" t="s">
        <v>282</v>
      </c>
      <c r="C37" s="741"/>
      <c r="D37" s="742"/>
      <c r="E37" s="747"/>
      <c r="F37" s="748"/>
      <c r="G37" s="748"/>
      <c r="H37" s="748"/>
      <c r="I37" s="748"/>
      <c r="J37" s="748"/>
      <c r="K37" s="748"/>
      <c r="L37" s="748"/>
      <c r="M37" s="748"/>
      <c r="N37" s="748"/>
      <c r="O37" s="748"/>
      <c r="P37" s="748"/>
      <c r="Q37" s="748"/>
      <c r="R37" s="748"/>
      <c r="S37" s="748"/>
      <c r="T37" s="749"/>
      <c r="V37" s="1"/>
      <c r="W37" s="1"/>
      <c r="X37" s="1"/>
      <c r="Z37" s="129"/>
      <c r="AA37" s="131"/>
      <c r="AB37" s="131"/>
      <c r="AC37" s="131"/>
      <c r="AD37" s="130"/>
      <c r="AE37" s="130"/>
      <c r="AF37" s="130"/>
      <c r="AG37" s="130"/>
    </row>
    <row r="38" spans="1:34" ht="12.75" customHeight="1" thickBot="1" x14ac:dyDescent="0.3">
      <c r="A38" s="345"/>
      <c r="B38" s="828" t="s">
        <v>102</v>
      </c>
      <c r="C38" s="829"/>
      <c r="D38" s="737"/>
      <c r="E38" s="737"/>
      <c r="F38" s="737"/>
      <c r="G38" s="156" t="s">
        <v>105</v>
      </c>
      <c r="H38" s="241"/>
      <c r="I38" s="165" t="s">
        <v>90</v>
      </c>
      <c r="J38" s="166"/>
      <c r="K38" s="166"/>
      <c r="L38" s="733"/>
      <c r="M38" s="734"/>
      <c r="N38" s="739" t="s">
        <v>106</v>
      </c>
      <c r="O38" s="739"/>
      <c r="P38" s="739"/>
      <c r="Q38" s="737"/>
      <c r="R38" s="737"/>
      <c r="S38" s="737"/>
      <c r="T38" s="738"/>
      <c r="V38" s="1"/>
      <c r="W38" s="1"/>
      <c r="X38" s="1"/>
      <c r="Z38" s="129"/>
      <c r="AA38" s="131"/>
      <c r="AB38" s="131"/>
      <c r="AC38" s="131"/>
      <c r="AD38" s="130"/>
      <c r="AE38" s="130"/>
      <c r="AF38" s="130"/>
      <c r="AG38" s="130"/>
    </row>
    <row r="39" spans="1:34" ht="12.75" customHeight="1" thickBot="1" x14ac:dyDescent="0.3">
      <c r="A39" s="347"/>
      <c r="B39" s="828" t="s">
        <v>102</v>
      </c>
      <c r="C39" s="829"/>
      <c r="D39" s="737"/>
      <c r="E39" s="737"/>
      <c r="F39" s="737"/>
      <c r="G39" s="156" t="s">
        <v>105</v>
      </c>
      <c r="H39" s="241"/>
      <c r="I39" s="165" t="s">
        <v>90</v>
      </c>
      <c r="J39" s="166"/>
      <c r="K39" s="166"/>
      <c r="L39" s="733"/>
      <c r="M39" s="734"/>
      <c r="N39" s="739" t="s">
        <v>106</v>
      </c>
      <c r="O39" s="739"/>
      <c r="P39" s="739"/>
      <c r="Q39" s="737"/>
      <c r="R39" s="737"/>
      <c r="S39" s="737"/>
      <c r="T39" s="738"/>
      <c r="V39" s="1"/>
      <c r="W39" s="1"/>
      <c r="X39" s="1"/>
      <c r="Z39" s="129"/>
      <c r="AA39" s="131"/>
      <c r="AB39" s="131"/>
      <c r="AC39" s="131"/>
      <c r="AD39" s="130"/>
      <c r="AE39" s="130"/>
      <c r="AF39" s="130"/>
      <c r="AG39" s="130"/>
    </row>
    <row r="40" spans="1:34" ht="3.75" customHeight="1" thickBot="1" x14ac:dyDescent="0.3">
      <c r="A40" s="833"/>
      <c r="B40" s="833"/>
      <c r="C40" s="833"/>
      <c r="D40" s="833"/>
      <c r="E40" s="833"/>
      <c r="F40" s="833"/>
      <c r="G40" s="833"/>
      <c r="H40" s="833"/>
      <c r="I40" s="833"/>
      <c r="J40" s="833"/>
      <c r="K40" s="833"/>
      <c r="L40" s="833"/>
      <c r="M40" s="833"/>
      <c r="N40" s="833"/>
      <c r="O40" s="833"/>
      <c r="P40" s="833"/>
      <c r="Q40" s="833"/>
      <c r="R40" s="833"/>
      <c r="S40" s="833"/>
      <c r="T40" s="833"/>
      <c r="V40" s="1"/>
      <c r="W40" s="1"/>
      <c r="X40" s="1"/>
      <c r="Z40" s="129"/>
      <c r="AA40" s="131"/>
      <c r="AB40" s="131"/>
      <c r="AC40" s="131"/>
      <c r="AD40" s="130"/>
      <c r="AE40" s="130"/>
      <c r="AF40" s="130"/>
      <c r="AG40" s="130"/>
    </row>
    <row r="41" spans="1:34" ht="12.75" customHeight="1" thickBot="1" x14ac:dyDescent="0.3">
      <c r="A41" s="766" t="s">
        <v>260</v>
      </c>
      <c r="B41" s="767"/>
      <c r="C41" s="767"/>
      <c r="D41" s="767"/>
      <c r="E41" s="767"/>
      <c r="F41" s="767"/>
      <c r="G41" s="767"/>
      <c r="H41" s="767"/>
      <c r="I41" s="767"/>
      <c r="J41" s="767"/>
      <c r="K41" s="767"/>
      <c r="L41" s="767"/>
      <c r="M41" s="767"/>
      <c r="N41" s="767"/>
      <c r="O41" s="767"/>
      <c r="P41" s="767"/>
      <c r="Q41" s="767"/>
      <c r="R41" s="767"/>
      <c r="S41" s="767"/>
      <c r="T41" s="768"/>
      <c r="V41" s="1"/>
      <c r="W41" s="1"/>
      <c r="X41" s="1"/>
      <c r="Z41" s="129"/>
      <c r="AA41" s="131"/>
      <c r="AB41" s="131"/>
      <c r="AC41" s="131"/>
      <c r="AD41" s="130"/>
      <c r="AE41" s="130"/>
      <c r="AF41" s="130"/>
      <c r="AG41" s="130"/>
    </row>
    <row r="42" spans="1:34" ht="12.75" customHeight="1" thickBot="1" x14ac:dyDescent="0.3">
      <c r="A42" s="147" t="s">
        <v>280</v>
      </c>
      <c r="B42" s="148" t="s">
        <v>281</v>
      </c>
      <c r="C42" s="761" t="s">
        <v>286</v>
      </c>
      <c r="D42" s="822"/>
      <c r="E42" s="822"/>
      <c r="F42" s="822"/>
      <c r="G42" s="822"/>
      <c r="H42" s="822"/>
      <c r="I42" s="822"/>
      <c r="J42" s="822"/>
      <c r="K42" s="822"/>
      <c r="L42" s="822"/>
      <c r="M42" s="822"/>
      <c r="N42" s="762"/>
      <c r="O42" s="761" t="s">
        <v>131</v>
      </c>
      <c r="P42" s="762"/>
      <c r="Q42" s="149" t="s">
        <v>92</v>
      </c>
      <c r="R42" s="149" t="s">
        <v>93</v>
      </c>
      <c r="S42" s="149" t="s">
        <v>103</v>
      </c>
      <c r="T42" s="150" t="s">
        <v>187</v>
      </c>
      <c r="V42" s="1"/>
      <c r="W42" s="1"/>
      <c r="X42" s="1"/>
      <c r="Z42" s="129"/>
      <c r="AA42" s="131"/>
      <c r="AB42" s="131"/>
      <c r="AC42" s="131"/>
      <c r="AD42" s="130"/>
      <c r="AE42" s="130"/>
      <c r="AF42" s="130"/>
      <c r="AG42" s="130"/>
    </row>
    <row r="43" spans="1:34" ht="12.75" customHeight="1" x14ac:dyDescent="0.25">
      <c r="A43" s="337"/>
      <c r="B43" s="338"/>
      <c r="C43" s="701" t="s">
        <v>102</v>
      </c>
      <c r="D43" s="702"/>
      <c r="E43" s="703"/>
      <c r="F43" s="703"/>
      <c r="G43" s="763" t="s">
        <v>292</v>
      </c>
      <c r="H43" s="764"/>
      <c r="I43" s="765"/>
      <c r="J43" s="704"/>
      <c r="K43" s="698" t="s">
        <v>293</v>
      </c>
      <c r="L43" s="698"/>
      <c r="M43" s="705"/>
      <c r="N43" s="758"/>
      <c r="O43" s="763" t="s">
        <v>283</v>
      </c>
      <c r="P43" s="764"/>
      <c r="Q43" s="143"/>
      <c r="R43" s="143"/>
      <c r="S43" s="143"/>
      <c r="T43" s="144"/>
      <c r="V43" s="1"/>
      <c r="W43" s="1"/>
      <c r="X43" s="1"/>
      <c r="Z43" s="129"/>
      <c r="AA43" s="131"/>
      <c r="AB43" s="131"/>
      <c r="AC43" s="131"/>
      <c r="AD43" s="130"/>
      <c r="AE43" s="130"/>
      <c r="AF43" s="130"/>
      <c r="AG43" s="130"/>
    </row>
    <row r="44" spans="1:34" s="1" customFormat="1" ht="12.75" customHeight="1" x14ac:dyDescent="0.25">
      <c r="A44" s="339"/>
      <c r="B44" s="340"/>
      <c r="C44" s="744" t="s">
        <v>289</v>
      </c>
      <c r="D44" s="745"/>
      <c r="E44" s="746"/>
      <c r="F44" s="743"/>
      <c r="G44" s="731"/>
      <c r="H44" s="731"/>
      <c r="I44" s="731"/>
      <c r="J44" s="731"/>
      <c r="K44" s="731"/>
      <c r="L44" s="731"/>
      <c r="M44" s="731"/>
      <c r="N44" s="732"/>
      <c r="O44" s="753" t="s">
        <v>79</v>
      </c>
      <c r="P44" s="746"/>
      <c r="Q44" s="141"/>
      <c r="R44" s="141"/>
      <c r="S44" s="141"/>
      <c r="T44" s="142"/>
      <c r="Y44" s="88"/>
      <c r="Z44" s="129"/>
      <c r="AA44" s="131"/>
      <c r="AB44" s="131"/>
      <c r="AC44" s="131"/>
      <c r="AD44" s="130"/>
      <c r="AE44" s="130"/>
      <c r="AF44" s="130"/>
      <c r="AG44" s="130"/>
      <c r="AH44" s="88"/>
    </row>
    <row r="45" spans="1:34" s="1" customFormat="1" ht="12.75" customHeight="1" x14ac:dyDescent="0.25">
      <c r="A45" s="339"/>
      <c r="B45" s="340"/>
      <c r="C45" s="744" t="s">
        <v>277</v>
      </c>
      <c r="D45" s="745"/>
      <c r="E45" s="746"/>
      <c r="F45" s="750"/>
      <c r="G45" s="751"/>
      <c r="H45" s="751"/>
      <c r="I45" s="751"/>
      <c r="J45" s="751"/>
      <c r="K45" s="751"/>
      <c r="L45" s="751"/>
      <c r="M45" s="751"/>
      <c r="N45" s="751"/>
      <c r="O45" s="751"/>
      <c r="P45" s="751"/>
      <c r="Q45" s="751"/>
      <c r="R45" s="751"/>
      <c r="S45" s="751"/>
      <c r="T45" s="752"/>
      <c r="Y45" s="88"/>
      <c r="Z45" s="129"/>
      <c r="AA45" s="131"/>
      <c r="AB45" s="131"/>
      <c r="AC45" s="131"/>
      <c r="AD45" s="130"/>
      <c r="AE45" s="130"/>
      <c r="AF45" s="130"/>
      <c r="AG45" s="130"/>
      <c r="AH45" s="88"/>
    </row>
    <row r="46" spans="1:34" ht="12.75" customHeight="1" x14ac:dyDescent="0.25">
      <c r="A46" s="339"/>
      <c r="B46" s="340"/>
      <c r="C46" s="759" t="s">
        <v>278</v>
      </c>
      <c r="D46" s="760"/>
      <c r="E46" s="760"/>
      <c r="F46" s="699"/>
      <c r="G46" s="699"/>
      <c r="H46" s="699"/>
      <c r="I46" s="699"/>
      <c r="J46" s="699"/>
      <c r="K46" s="699"/>
      <c r="L46" s="699"/>
      <c r="M46" s="699"/>
      <c r="N46" s="699"/>
      <c r="O46" s="699"/>
      <c r="P46" s="699"/>
      <c r="Q46" s="699"/>
      <c r="R46" s="699"/>
      <c r="S46" s="699"/>
      <c r="T46" s="700"/>
      <c r="V46" s="1"/>
      <c r="W46" s="1"/>
      <c r="X46" s="1"/>
      <c r="Z46" s="129"/>
      <c r="AA46" s="131"/>
      <c r="AB46" s="131"/>
      <c r="AC46" s="131"/>
      <c r="AD46" s="130"/>
      <c r="AE46" s="130"/>
      <c r="AF46" s="130"/>
      <c r="AG46" s="130"/>
    </row>
    <row r="47" spans="1:34" ht="12.75" customHeight="1" thickBot="1" x14ac:dyDescent="0.3">
      <c r="A47" s="339"/>
      <c r="B47" s="340"/>
      <c r="C47" s="740" t="s">
        <v>279</v>
      </c>
      <c r="D47" s="741"/>
      <c r="E47" s="742"/>
      <c r="F47" s="735"/>
      <c r="G47" s="735"/>
      <c r="H47" s="735"/>
      <c r="I47" s="735"/>
      <c r="J47" s="735"/>
      <c r="K47" s="735"/>
      <c r="L47" s="735"/>
      <c r="M47" s="735"/>
      <c r="N47" s="735"/>
      <c r="O47" s="735"/>
      <c r="P47" s="735"/>
      <c r="Q47" s="735"/>
      <c r="R47" s="735"/>
      <c r="S47" s="735"/>
      <c r="T47" s="736"/>
      <c r="V47" s="1"/>
      <c r="W47" s="1"/>
      <c r="X47" s="1"/>
      <c r="Z47" s="129"/>
      <c r="AA47" s="131"/>
      <c r="AB47" s="131"/>
      <c r="AC47" s="131"/>
      <c r="AD47" s="130"/>
      <c r="AE47" s="130"/>
      <c r="AF47" s="130"/>
      <c r="AG47" s="130"/>
    </row>
    <row r="48" spans="1:34" ht="12.75" customHeight="1" x14ac:dyDescent="0.25">
      <c r="A48" s="341"/>
      <c r="B48" s="338"/>
      <c r="C48" s="701" t="s">
        <v>102</v>
      </c>
      <c r="D48" s="702"/>
      <c r="E48" s="703"/>
      <c r="F48" s="703"/>
      <c r="G48" s="702" t="s">
        <v>292</v>
      </c>
      <c r="H48" s="702"/>
      <c r="I48" s="704"/>
      <c r="J48" s="704"/>
      <c r="K48" s="698" t="s">
        <v>293</v>
      </c>
      <c r="L48" s="698"/>
      <c r="M48" s="705"/>
      <c r="N48" s="706"/>
      <c r="O48" s="763" t="s">
        <v>283</v>
      </c>
      <c r="P48" s="764"/>
      <c r="Q48" s="143"/>
      <c r="R48" s="143"/>
      <c r="S48" s="143"/>
      <c r="T48" s="144"/>
      <c r="V48" s="1"/>
      <c r="W48" s="1"/>
      <c r="X48" s="1"/>
    </row>
    <row r="49" spans="1:24" ht="12.75" customHeight="1" x14ac:dyDescent="0.25">
      <c r="A49" s="339"/>
      <c r="B49" s="340"/>
      <c r="C49" s="744" t="s">
        <v>289</v>
      </c>
      <c r="D49" s="745"/>
      <c r="E49" s="746"/>
      <c r="F49" s="743"/>
      <c r="G49" s="731"/>
      <c r="H49" s="731"/>
      <c r="I49" s="731"/>
      <c r="J49" s="731"/>
      <c r="K49" s="731"/>
      <c r="L49" s="731"/>
      <c r="M49" s="731"/>
      <c r="N49" s="732"/>
      <c r="O49" s="753" t="s">
        <v>79</v>
      </c>
      <c r="P49" s="746"/>
      <c r="Q49" s="141"/>
      <c r="R49" s="141"/>
      <c r="S49" s="141"/>
      <c r="T49" s="142"/>
      <c r="V49" s="1"/>
      <c r="W49" s="1"/>
      <c r="X49" s="1"/>
    </row>
    <row r="50" spans="1:24" ht="12.75" customHeight="1" x14ac:dyDescent="0.25">
      <c r="A50" s="339"/>
      <c r="B50" s="340"/>
      <c r="C50" s="744" t="s">
        <v>277</v>
      </c>
      <c r="D50" s="745"/>
      <c r="E50" s="746"/>
      <c r="F50" s="750"/>
      <c r="G50" s="751"/>
      <c r="H50" s="751"/>
      <c r="I50" s="751"/>
      <c r="J50" s="751"/>
      <c r="K50" s="751"/>
      <c r="L50" s="751"/>
      <c r="M50" s="751"/>
      <c r="N50" s="751"/>
      <c r="O50" s="751"/>
      <c r="P50" s="751"/>
      <c r="Q50" s="751"/>
      <c r="R50" s="751"/>
      <c r="S50" s="751"/>
      <c r="T50" s="752"/>
      <c r="V50" s="1"/>
      <c r="W50" s="1"/>
      <c r="X50" s="1"/>
    </row>
    <row r="51" spans="1:24" ht="12.75" customHeight="1" x14ac:dyDescent="0.25">
      <c r="A51" s="339"/>
      <c r="B51" s="340"/>
      <c r="C51" s="759" t="s">
        <v>278</v>
      </c>
      <c r="D51" s="760"/>
      <c r="E51" s="760"/>
      <c r="F51" s="699"/>
      <c r="G51" s="699"/>
      <c r="H51" s="699"/>
      <c r="I51" s="699"/>
      <c r="J51" s="699"/>
      <c r="K51" s="699"/>
      <c r="L51" s="699"/>
      <c r="M51" s="699"/>
      <c r="N51" s="699"/>
      <c r="O51" s="699"/>
      <c r="P51" s="699"/>
      <c r="Q51" s="699"/>
      <c r="R51" s="699"/>
      <c r="S51" s="699"/>
      <c r="T51" s="700"/>
      <c r="V51" s="1"/>
      <c r="W51" s="1"/>
      <c r="X51" s="1"/>
    </row>
    <row r="52" spans="1:24" ht="12.75" customHeight="1" thickBot="1" x14ac:dyDescent="0.3">
      <c r="A52" s="342"/>
      <c r="B52" s="340"/>
      <c r="C52" s="825" t="s">
        <v>279</v>
      </c>
      <c r="D52" s="826"/>
      <c r="E52" s="826"/>
      <c r="F52" s="735"/>
      <c r="G52" s="735"/>
      <c r="H52" s="735"/>
      <c r="I52" s="735"/>
      <c r="J52" s="735"/>
      <c r="K52" s="735"/>
      <c r="L52" s="735"/>
      <c r="M52" s="735"/>
      <c r="N52" s="735"/>
      <c r="O52" s="735"/>
      <c r="P52" s="735"/>
      <c r="Q52" s="735"/>
      <c r="R52" s="735"/>
      <c r="S52" s="735"/>
      <c r="T52" s="736"/>
      <c r="V52" s="1"/>
      <c r="W52" s="1"/>
      <c r="X52" s="1"/>
    </row>
    <row r="53" spans="1:24" ht="12.75" customHeight="1" x14ac:dyDescent="0.25">
      <c r="A53" s="341"/>
      <c r="B53" s="338"/>
      <c r="C53" s="701" t="s">
        <v>102</v>
      </c>
      <c r="D53" s="702"/>
      <c r="E53" s="703"/>
      <c r="F53" s="703"/>
      <c r="G53" s="702" t="s">
        <v>292</v>
      </c>
      <c r="H53" s="702"/>
      <c r="I53" s="704"/>
      <c r="J53" s="704"/>
      <c r="K53" s="698" t="s">
        <v>293</v>
      </c>
      <c r="L53" s="698"/>
      <c r="M53" s="705"/>
      <c r="N53" s="706"/>
      <c r="O53" s="763" t="s">
        <v>283</v>
      </c>
      <c r="P53" s="764"/>
      <c r="Q53" s="143"/>
      <c r="R53" s="143"/>
      <c r="S53" s="143"/>
      <c r="T53" s="144"/>
      <c r="V53" s="1"/>
      <c r="W53" s="1"/>
      <c r="X53" s="1"/>
    </row>
    <row r="54" spans="1:24" ht="12.75" customHeight="1" thickBot="1" x14ac:dyDescent="0.3">
      <c r="A54" s="342"/>
      <c r="B54" s="340"/>
      <c r="C54" s="740" t="s">
        <v>289</v>
      </c>
      <c r="D54" s="741"/>
      <c r="E54" s="742"/>
      <c r="F54" s="834"/>
      <c r="G54" s="779"/>
      <c r="H54" s="779"/>
      <c r="I54" s="779"/>
      <c r="J54" s="779"/>
      <c r="K54" s="779"/>
      <c r="L54" s="779"/>
      <c r="M54" s="779"/>
      <c r="N54" s="780"/>
      <c r="O54" s="835" t="s">
        <v>79</v>
      </c>
      <c r="P54" s="742"/>
      <c r="Q54" s="145"/>
      <c r="R54" s="145"/>
      <c r="S54" s="145"/>
      <c r="T54" s="146"/>
      <c r="V54" s="1"/>
      <c r="W54" s="1"/>
      <c r="X54" s="1"/>
    </row>
    <row r="55" spans="1:24" ht="12.75" customHeight="1" x14ac:dyDescent="0.25">
      <c r="A55" s="341"/>
      <c r="B55" s="338"/>
      <c r="C55" s="701" t="s">
        <v>102</v>
      </c>
      <c r="D55" s="702"/>
      <c r="E55" s="703"/>
      <c r="F55" s="703"/>
      <c r="G55" s="702" t="s">
        <v>292</v>
      </c>
      <c r="H55" s="702"/>
      <c r="I55" s="704"/>
      <c r="J55" s="704"/>
      <c r="K55" s="698" t="s">
        <v>293</v>
      </c>
      <c r="L55" s="698"/>
      <c r="M55" s="705"/>
      <c r="N55" s="706"/>
      <c r="O55" s="763" t="s">
        <v>283</v>
      </c>
      <c r="P55" s="764"/>
      <c r="Q55" s="143"/>
      <c r="R55" s="143"/>
      <c r="S55" s="143"/>
      <c r="T55" s="144"/>
      <c r="V55" s="1"/>
      <c r="W55" s="1"/>
      <c r="X55" s="1"/>
    </row>
    <row r="56" spans="1:24" ht="12.75" customHeight="1" thickBot="1" x14ac:dyDescent="0.3">
      <c r="A56" s="342"/>
      <c r="B56" s="340"/>
      <c r="C56" s="740" t="s">
        <v>289</v>
      </c>
      <c r="D56" s="741"/>
      <c r="E56" s="742"/>
      <c r="F56" s="834"/>
      <c r="G56" s="779"/>
      <c r="H56" s="779"/>
      <c r="I56" s="779"/>
      <c r="J56" s="779"/>
      <c r="K56" s="779"/>
      <c r="L56" s="779"/>
      <c r="M56" s="779"/>
      <c r="N56" s="780"/>
      <c r="O56" s="835" t="s">
        <v>79</v>
      </c>
      <c r="P56" s="742"/>
      <c r="Q56" s="145"/>
      <c r="R56" s="145"/>
      <c r="S56" s="145"/>
      <c r="T56" s="146"/>
      <c r="V56" s="1"/>
      <c r="W56" s="1"/>
      <c r="X56" s="1"/>
    </row>
    <row r="57" spans="1:24" ht="12.75" customHeight="1" x14ac:dyDescent="0.25">
      <c r="A57" s="341"/>
      <c r="B57" s="338"/>
      <c r="C57" s="701" t="s">
        <v>102</v>
      </c>
      <c r="D57" s="702"/>
      <c r="E57" s="703"/>
      <c r="F57" s="703"/>
      <c r="G57" s="702" t="s">
        <v>292</v>
      </c>
      <c r="H57" s="702"/>
      <c r="I57" s="704"/>
      <c r="J57" s="704"/>
      <c r="K57" s="698" t="s">
        <v>293</v>
      </c>
      <c r="L57" s="698"/>
      <c r="M57" s="705"/>
      <c r="N57" s="706"/>
      <c r="O57" s="763" t="s">
        <v>283</v>
      </c>
      <c r="P57" s="764"/>
      <c r="Q57" s="143"/>
      <c r="R57" s="143"/>
      <c r="S57" s="143"/>
      <c r="T57" s="144"/>
      <c r="V57" s="1"/>
      <c r="W57" s="1"/>
      <c r="X57" s="1"/>
    </row>
    <row r="58" spans="1:24" ht="12.75" customHeight="1" thickBot="1" x14ac:dyDescent="0.3">
      <c r="A58" s="343"/>
      <c r="B58" s="344"/>
      <c r="C58" s="740" t="s">
        <v>289</v>
      </c>
      <c r="D58" s="741"/>
      <c r="E58" s="742"/>
      <c r="F58" s="834"/>
      <c r="G58" s="779"/>
      <c r="H58" s="779"/>
      <c r="I58" s="779"/>
      <c r="J58" s="779"/>
      <c r="K58" s="779"/>
      <c r="L58" s="779"/>
      <c r="M58" s="779"/>
      <c r="N58" s="780"/>
      <c r="O58" s="835" t="s">
        <v>79</v>
      </c>
      <c r="P58" s="742"/>
      <c r="Q58" s="145"/>
      <c r="R58" s="145"/>
      <c r="S58" s="145"/>
      <c r="T58" s="146"/>
      <c r="V58" s="1"/>
      <c r="W58" s="1"/>
      <c r="X58" s="1"/>
    </row>
    <row r="59" spans="1:24" ht="12.75" customHeight="1" x14ac:dyDescent="0.25">
      <c r="B59" s="2"/>
      <c r="C59" s="2"/>
      <c r="D59" s="2"/>
      <c r="E59" s="2"/>
      <c r="F59" s="2"/>
      <c r="G59" s="2"/>
      <c r="H59" s="2"/>
      <c r="I59" s="2"/>
      <c r="J59" s="2"/>
      <c r="K59" s="2"/>
      <c r="L59" s="2"/>
      <c r="M59" s="2"/>
      <c r="N59" s="2"/>
      <c r="O59" s="2"/>
      <c r="P59" s="2"/>
      <c r="Q59" s="2"/>
      <c r="R59" s="2"/>
      <c r="S59" s="2"/>
      <c r="T59" s="2"/>
      <c r="V59" s="1"/>
      <c r="W59" s="1"/>
      <c r="X59" s="1"/>
    </row>
    <row r="60" spans="1:24" ht="12.75" customHeight="1" x14ac:dyDescent="0.25">
      <c r="O60" s="2"/>
      <c r="P60" s="2"/>
      <c r="Q60" s="2"/>
      <c r="R60" s="2"/>
      <c r="S60" s="2"/>
      <c r="T60" s="2"/>
      <c r="V60" s="1"/>
      <c r="W60" s="1"/>
      <c r="X60" s="1"/>
    </row>
    <row r="61" spans="1:24" ht="12.75" customHeight="1" x14ac:dyDescent="0.25">
      <c r="R61" s="2"/>
      <c r="S61" s="2"/>
      <c r="T61" s="2"/>
      <c r="V61" s="1"/>
      <c r="W61" s="1"/>
      <c r="X61" s="1"/>
    </row>
    <row r="62" spans="1:24" ht="12.75" customHeight="1" x14ac:dyDescent="0.25">
      <c r="R62" s="2"/>
      <c r="S62" s="2"/>
      <c r="T62" s="2"/>
      <c r="V62" s="1"/>
      <c r="W62" s="1"/>
      <c r="X62" s="1"/>
    </row>
    <row r="63" spans="1:24" ht="12.75" customHeight="1" x14ac:dyDescent="0.25">
      <c r="R63" s="2"/>
      <c r="S63" s="2"/>
      <c r="V63" s="1"/>
      <c r="W63" s="1"/>
      <c r="X63" s="1"/>
    </row>
    <row r="64" spans="1:24" ht="12.75" customHeight="1" x14ac:dyDescent="0.25">
      <c r="V64" s="1"/>
      <c r="W64" s="1"/>
      <c r="X64" s="1"/>
    </row>
    <row r="65" spans="22:24" ht="12.75" customHeight="1" x14ac:dyDescent="0.25">
      <c r="V65" s="1"/>
      <c r="W65" s="1"/>
      <c r="X65" s="1"/>
    </row>
    <row r="66" spans="22:24" ht="12.75" customHeight="1" x14ac:dyDescent="0.25">
      <c r="V66" s="1"/>
      <c r="W66" s="1"/>
      <c r="X66" s="1"/>
    </row>
    <row r="67" spans="22:24" ht="12.75" customHeight="1" x14ac:dyDescent="0.25">
      <c r="V67" s="1"/>
      <c r="W67" s="1"/>
      <c r="X67" s="1"/>
    </row>
    <row r="68" spans="22:24" ht="12.75" customHeight="1" x14ac:dyDescent="0.25">
      <c r="V68" s="1"/>
      <c r="W68" s="1"/>
      <c r="X68" s="1"/>
    </row>
    <row r="69" spans="22:24" ht="12.75" customHeight="1" x14ac:dyDescent="0.25">
      <c r="V69" s="1"/>
      <c r="W69" s="1"/>
      <c r="X69" s="1"/>
    </row>
    <row r="70" spans="22:24" ht="12.75" customHeight="1" x14ac:dyDescent="0.25">
      <c r="V70" s="1"/>
      <c r="W70" s="1"/>
      <c r="X70" s="1"/>
    </row>
    <row r="71" spans="22:24" ht="12.75" customHeight="1" x14ac:dyDescent="0.25"/>
    <row r="72" spans="22:24" ht="12.75" customHeight="1" x14ac:dyDescent="0.25"/>
    <row r="73" spans="22:24" ht="12.75" customHeight="1" x14ac:dyDescent="0.25"/>
    <row r="74" spans="22:24" ht="12.75" customHeight="1" x14ac:dyDescent="0.25"/>
    <row r="75" spans="22:24" ht="12.75" customHeight="1" x14ac:dyDescent="0.25"/>
    <row r="76" spans="22:24" ht="12.75" customHeight="1" x14ac:dyDescent="0.25"/>
    <row r="77" spans="22:24" ht="12.75" customHeight="1" x14ac:dyDescent="0.25"/>
    <row r="78" spans="22:24" ht="12.75" customHeight="1" x14ac:dyDescent="0.25"/>
  </sheetData>
  <sheetProtection algorithmName="SHA-512" hashValue="NeK45uhDmLT6N6MPNVfoKvIa/MxF0GDdgyqSWW/rz2ll+z3jST8YOCLwnIXqxarlqwfPEExDPMIqNJMz3Z0qwg==" saltValue="Sv8F9R8MzadOBEXftPUcKQ==" spinCount="100000" sheet="1" objects="1" scenarios="1" selectLockedCells="1"/>
  <mergeCells count="242">
    <mergeCell ref="A2:T2"/>
    <mergeCell ref="I3:I23"/>
    <mergeCell ref="A24:T24"/>
    <mergeCell ref="A31:T31"/>
    <mergeCell ref="A40:T40"/>
    <mergeCell ref="O57:P57"/>
    <mergeCell ref="C58:E58"/>
    <mergeCell ref="F58:N58"/>
    <mergeCell ref="O58:P58"/>
    <mergeCell ref="O55:P55"/>
    <mergeCell ref="C56:E56"/>
    <mergeCell ref="F56:N56"/>
    <mergeCell ref="O56:P56"/>
    <mergeCell ref="O53:P53"/>
    <mergeCell ref="F49:N49"/>
    <mergeCell ref="C52:E52"/>
    <mergeCell ref="F52:T52"/>
    <mergeCell ref="C54:E54"/>
    <mergeCell ref="F54:N54"/>
    <mergeCell ref="O54:P54"/>
    <mergeCell ref="C49:E49"/>
    <mergeCell ref="C50:E50"/>
    <mergeCell ref="C51:E51"/>
    <mergeCell ref="B35:D35"/>
    <mergeCell ref="A1:T1"/>
    <mergeCell ref="C42:N42"/>
    <mergeCell ref="A8:D8"/>
    <mergeCell ref="F8:G8"/>
    <mergeCell ref="A3:E3"/>
    <mergeCell ref="F3:H3"/>
    <mergeCell ref="F4:G4"/>
    <mergeCell ref="A5:D5"/>
    <mergeCell ref="A6:D6"/>
    <mergeCell ref="F5:G5"/>
    <mergeCell ref="F6:G6"/>
    <mergeCell ref="A9:H9"/>
    <mergeCell ref="B36:D36"/>
    <mergeCell ref="B37:D37"/>
    <mergeCell ref="A16:D16"/>
    <mergeCell ref="F16:G16"/>
    <mergeCell ref="A17:D17"/>
    <mergeCell ref="F17:G17"/>
    <mergeCell ref="A18:D18"/>
    <mergeCell ref="F18:G18"/>
    <mergeCell ref="B33:C33"/>
    <mergeCell ref="B38:C38"/>
    <mergeCell ref="B39:C39"/>
    <mergeCell ref="B34:D34"/>
    <mergeCell ref="A19:D19"/>
    <mergeCell ref="F19:G19"/>
    <mergeCell ref="A20:D20"/>
    <mergeCell ref="F20:G20"/>
    <mergeCell ref="A21:D21"/>
    <mergeCell ref="F21:G21"/>
    <mergeCell ref="A22:D22"/>
    <mergeCell ref="F22:G22"/>
    <mergeCell ref="F23:G23"/>
    <mergeCell ref="J3:T3"/>
    <mergeCell ref="J4:P5"/>
    <mergeCell ref="S11:T11"/>
    <mergeCell ref="Q12:R12"/>
    <mergeCell ref="S12:T12"/>
    <mergeCell ref="Q13:R13"/>
    <mergeCell ref="S13:T13"/>
    <mergeCell ref="A4:D4"/>
    <mergeCell ref="A10:D10"/>
    <mergeCell ref="L13:P13"/>
    <mergeCell ref="J6:K6"/>
    <mergeCell ref="J7:K7"/>
    <mergeCell ref="J8:K8"/>
    <mergeCell ref="J9:K9"/>
    <mergeCell ref="J10:K10"/>
    <mergeCell ref="A7:H7"/>
    <mergeCell ref="J11:K11"/>
    <mergeCell ref="J12:K12"/>
    <mergeCell ref="J13:K13"/>
    <mergeCell ref="E10:H10"/>
    <mergeCell ref="A12:D12"/>
    <mergeCell ref="F12:G12"/>
    <mergeCell ref="A11:E11"/>
    <mergeCell ref="F11:H11"/>
    <mergeCell ref="A14:D14"/>
    <mergeCell ref="F14:G14"/>
    <mergeCell ref="A15:D15"/>
    <mergeCell ref="F15:G15"/>
    <mergeCell ref="Q18:R18"/>
    <mergeCell ref="S18:T18"/>
    <mergeCell ref="Q10:R10"/>
    <mergeCell ref="S10:T10"/>
    <mergeCell ref="Q11:R11"/>
    <mergeCell ref="A13:D13"/>
    <mergeCell ref="F13:G13"/>
    <mergeCell ref="Q19:R19"/>
    <mergeCell ref="S19:T19"/>
    <mergeCell ref="Q20:R20"/>
    <mergeCell ref="S20:T20"/>
    <mergeCell ref="J14:K14"/>
    <mergeCell ref="J15:K15"/>
    <mergeCell ref="J16:K16"/>
    <mergeCell ref="J17:K17"/>
    <mergeCell ref="J18:K18"/>
    <mergeCell ref="J19:K19"/>
    <mergeCell ref="S14:T14"/>
    <mergeCell ref="J20:K20"/>
    <mergeCell ref="L6:P6"/>
    <mergeCell ref="L7:P7"/>
    <mergeCell ref="L8:P8"/>
    <mergeCell ref="S22:T22"/>
    <mergeCell ref="L9:P9"/>
    <mergeCell ref="L10:P10"/>
    <mergeCell ref="L11:P11"/>
    <mergeCell ref="L12:P12"/>
    <mergeCell ref="Q15:R15"/>
    <mergeCell ref="S15:T15"/>
    <mergeCell ref="Q16:R16"/>
    <mergeCell ref="S16:T16"/>
    <mergeCell ref="Q17:R17"/>
    <mergeCell ref="S17:T17"/>
    <mergeCell ref="L16:P16"/>
    <mergeCell ref="L17:P17"/>
    <mergeCell ref="L18:P18"/>
    <mergeCell ref="L19:P19"/>
    <mergeCell ref="L20:P20"/>
    <mergeCell ref="L21:P21"/>
    <mergeCell ref="L22:P22"/>
    <mergeCell ref="L14:P14"/>
    <mergeCell ref="L15:P15"/>
    <mergeCell ref="Q14:R14"/>
    <mergeCell ref="Q4:R5"/>
    <mergeCell ref="S4:T5"/>
    <mergeCell ref="Q6:R6"/>
    <mergeCell ref="S6:T6"/>
    <mergeCell ref="Q7:R7"/>
    <mergeCell ref="S7:T7"/>
    <mergeCell ref="Q8:R8"/>
    <mergeCell ref="S8:T8"/>
    <mergeCell ref="Q9:R9"/>
    <mergeCell ref="S9:T9"/>
    <mergeCell ref="A32:T32"/>
    <mergeCell ref="D33:F33"/>
    <mergeCell ref="N33:P33"/>
    <mergeCell ref="Q33:T33"/>
    <mergeCell ref="A26:B26"/>
    <mergeCell ref="A27:B27"/>
    <mergeCell ref="A28:B28"/>
    <mergeCell ref="A29:B29"/>
    <mergeCell ref="Q26:S26"/>
    <mergeCell ref="Q27:S27"/>
    <mergeCell ref="Q28:S28"/>
    <mergeCell ref="Q29:S29"/>
    <mergeCell ref="Q30:S30"/>
    <mergeCell ref="N26:O26"/>
    <mergeCell ref="N27:O27"/>
    <mergeCell ref="C30:F30"/>
    <mergeCell ref="I26:K26"/>
    <mergeCell ref="I27:K27"/>
    <mergeCell ref="I28:K28"/>
    <mergeCell ref="I29:K29"/>
    <mergeCell ref="I30:K30"/>
    <mergeCell ref="C26:F26"/>
    <mergeCell ref="C27:F27"/>
    <mergeCell ref="C28:F28"/>
    <mergeCell ref="N38:P38"/>
    <mergeCell ref="C48:D48"/>
    <mergeCell ref="E48:F48"/>
    <mergeCell ref="G48:H48"/>
    <mergeCell ref="I48:J48"/>
    <mergeCell ref="K48:L48"/>
    <mergeCell ref="M48:N48"/>
    <mergeCell ref="M43:N43"/>
    <mergeCell ref="C46:E46"/>
    <mergeCell ref="O42:P42"/>
    <mergeCell ref="C43:D43"/>
    <mergeCell ref="E43:F43"/>
    <mergeCell ref="G43:H43"/>
    <mergeCell ref="I43:J43"/>
    <mergeCell ref="O48:P48"/>
    <mergeCell ref="A41:T41"/>
    <mergeCell ref="Q39:T39"/>
    <mergeCell ref="O44:P44"/>
    <mergeCell ref="O43:P43"/>
    <mergeCell ref="F46:T46"/>
    <mergeCell ref="L33:M33"/>
    <mergeCell ref="L38:M38"/>
    <mergeCell ref="L39:M39"/>
    <mergeCell ref="I53:J53"/>
    <mergeCell ref="K53:L53"/>
    <mergeCell ref="M53:N53"/>
    <mergeCell ref="I55:J55"/>
    <mergeCell ref="K55:L55"/>
    <mergeCell ref="M55:N55"/>
    <mergeCell ref="F47:T47"/>
    <mergeCell ref="Q38:T38"/>
    <mergeCell ref="D39:F39"/>
    <mergeCell ref="N39:P39"/>
    <mergeCell ref="C47:E47"/>
    <mergeCell ref="F44:N44"/>
    <mergeCell ref="C44:E44"/>
    <mergeCell ref="C45:E45"/>
    <mergeCell ref="D38:F38"/>
    <mergeCell ref="E37:T37"/>
    <mergeCell ref="E36:T36"/>
    <mergeCell ref="E35:T35"/>
    <mergeCell ref="E34:T34"/>
    <mergeCell ref="O49:P49"/>
    <mergeCell ref="F50:T50"/>
    <mergeCell ref="J21:K21"/>
    <mergeCell ref="J22:K22"/>
    <mergeCell ref="J23:K23"/>
    <mergeCell ref="L26:M26"/>
    <mergeCell ref="L27:M27"/>
    <mergeCell ref="L28:M28"/>
    <mergeCell ref="L29:M29"/>
    <mergeCell ref="L30:M30"/>
    <mergeCell ref="A25:T25"/>
    <mergeCell ref="A30:B30"/>
    <mergeCell ref="A23:E23"/>
    <mergeCell ref="Q23:R23"/>
    <mergeCell ref="S23:T23"/>
    <mergeCell ref="Q21:R21"/>
    <mergeCell ref="S21:T21"/>
    <mergeCell ref="Q22:R22"/>
    <mergeCell ref="L23:P23"/>
    <mergeCell ref="C29:F29"/>
    <mergeCell ref="N28:O28"/>
    <mergeCell ref="N29:O29"/>
    <mergeCell ref="N30:O30"/>
    <mergeCell ref="K43:L43"/>
    <mergeCell ref="F51:T51"/>
    <mergeCell ref="C57:D57"/>
    <mergeCell ref="E57:F57"/>
    <mergeCell ref="G57:H57"/>
    <mergeCell ref="I57:J57"/>
    <mergeCell ref="K57:L57"/>
    <mergeCell ref="C53:D53"/>
    <mergeCell ref="E53:F53"/>
    <mergeCell ref="G53:H53"/>
    <mergeCell ref="C55:D55"/>
    <mergeCell ref="E55:F55"/>
    <mergeCell ref="G55:H55"/>
    <mergeCell ref="M57:N57"/>
    <mergeCell ref="F45:T45"/>
  </mergeCells>
  <dataValidations count="3">
    <dataValidation type="list" allowBlank="1" showInputMessage="1" showErrorMessage="1" sqref="C26:F30 F44:N44 F49:N49 F54:N54 F56:N56 F58:N58" xr:uid="{9F2FA3A1-4427-4639-A243-033BD8454B59}">
      <formula1>wp_list</formula1>
    </dataValidation>
    <dataValidation type="list" allowBlank="1" showInputMessage="1" showErrorMessage="1" sqref="K43:L43 K48:L48 K53:L53 K55:L55 K57:L57" xr:uid="{87B4D920-7B94-479F-8DCE-81213368F1EF}">
      <formula1>die_type</formula1>
    </dataValidation>
    <dataValidation type="list" allowBlank="1" showInputMessage="1" showErrorMessage="1" sqref="M43:N43 M48:N48 M53:N53 M55:N55 M57:N57" xr:uid="{6C0CAFA1-A28A-4274-9B7C-61574E4CE544}">
      <formula1>weapon_bonus</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76200</xdr:colOff>
                    <xdr:row>5</xdr:row>
                    <xdr:rowOff>0</xdr:rowOff>
                  </from>
                  <to>
                    <xdr:col>10</xdr:col>
                    <xdr:colOff>76200</xdr:colOff>
                    <xdr:row>6</xdr:row>
                    <xdr:rowOff>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9</xdr:col>
                    <xdr:colOff>76200</xdr:colOff>
                    <xdr:row>6</xdr:row>
                    <xdr:rowOff>0</xdr:rowOff>
                  </from>
                  <to>
                    <xdr:col>10</xdr:col>
                    <xdr:colOff>76200</xdr:colOff>
                    <xdr:row>7</xdr:row>
                    <xdr:rowOff>0</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from>
                    <xdr:col>9</xdr:col>
                    <xdr:colOff>76200</xdr:colOff>
                    <xdr:row>7</xdr:row>
                    <xdr:rowOff>0</xdr:rowOff>
                  </from>
                  <to>
                    <xdr:col>10</xdr:col>
                    <xdr:colOff>76200</xdr:colOff>
                    <xdr:row>8</xdr:row>
                    <xdr:rowOff>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from>
                    <xdr:col>9</xdr:col>
                    <xdr:colOff>76200</xdr:colOff>
                    <xdr:row>8</xdr:row>
                    <xdr:rowOff>0</xdr:rowOff>
                  </from>
                  <to>
                    <xdr:col>10</xdr:col>
                    <xdr:colOff>76200</xdr:colOff>
                    <xdr:row>9</xdr:row>
                    <xdr:rowOff>0</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from>
                    <xdr:col>9</xdr:col>
                    <xdr:colOff>76200</xdr:colOff>
                    <xdr:row>9</xdr:row>
                    <xdr:rowOff>0</xdr:rowOff>
                  </from>
                  <to>
                    <xdr:col>10</xdr:col>
                    <xdr:colOff>76200</xdr:colOff>
                    <xdr:row>10</xdr:row>
                    <xdr:rowOff>0</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from>
                    <xdr:col>9</xdr:col>
                    <xdr:colOff>76200</xdr:colOff>
                    <xdr:row>10</xdr:row>
                    <xdr:rowOff>0</xdr:rowOff>
                  </from>
                  <to>
                    <xdr:col>10</xdr:col>
                    <xdr:colOff>76200</xdr:colOff>
                    <xdr:row>11</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9</xdr:col>
                    <xdr:colOff>76200</xdr:colOff>
                    <xdr:row>11</xdr:row>
                    <xdr:rowOff>0</xdr:rowOff>
                  </from>
                  <to>
                    <xdr:col>10</xdr:col>
                    <xdr:colOff>76200</xdr:colOff>
                    <xdr:row>12</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76200</xdr:colOff>
                    <xdr:row>12</xdr:row>
                    <xdr:rowOff>0</xdr:rowOff>
                  </from>
                  <to>
                    <xdr:col>10</xdr:col>
                    <xdr:colOff>76200</xdr:colOff>
                    <xdr:row>13</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76200</xdr:colOff>
                    <xdr:row>13</xdr:row>
                    <xdr:rowOff>0</xdr:rowOff>
                  </from>
                  <to>
                    <xdr:col>10</xdr:col>
                    <xdr:colOff>76200</xdr:colOff>
                    <xdr:row>14</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76200</xdr:colOff>
                    <xdr:row>14</xdr:row>
                    <xdr:rowOff>0</xdr:rowOff>
                  </from>
                  <to>
                    <xdr:col>10</xdr:col>
                    <xdr:colOff>76200</xdr:colOff>
                    <xdr:row>15</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9</xdr:col>
                    <xdr:colOff>76200</xdr:colOff>
                    <xdr:row>15</xdr:row>
                    <xdr:rowOff>0</xdr:rowOff>
                  </from>
                  <to>
                    <xdr:col>10</xdr:col>
                    <xdr:colOff>76200</xdr:colOff>
                    <xdr:row>16</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76200</xdr:colOff>
                    <xdr:row>16</xdr:row>
                    <xdr:rowOff>0</xdr:rowOff>
                  </from>
                  <to>
                    <xdr:col>10</xdr:col>
                    <xdr:colOff>76200</xdr:colOff>
                    <xdr:row>17</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9</xdr:col>
                    <xdr:colOff>76200</xdr:colOff>
                    <xdr:row>17</xdr:row>
                    <xdr:rowOff>0</xdr:rowOff>
                  </from>
                  <to>
                    <xdr:col>10</xdr:col>
                    <xdr:colOff>76200</xdr:colOff>
                    <xdr:row>18</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76200</xdr:colOff>
                    <xdr:row>18</xdr:row>
                    <xdr:rowOff>0</xdr:rowOff>
                  </from>
                  <to>
                    <xdr:col>10</xdr:col>
                    <xdr:colOff>76200</xdr:colOff>
                    <xdr:row>19</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9</xdr:col>
                    <xdr:colOff>76200</xdr:colOff>
                    <xdr:row>19</xdr:row>
                    <xdr:rowOff>0</xdr:rowOff>
                  </from>
                  <to>
                    <xdr:col>10</xdr:col>
                    <xdr:colOff>76200</xdr:colOff>
                    <xdr:row>20</xdr:row>
                    <xdr:rowOff>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76200</xdr:colOff>
                    <xdr:row>20</xdr:row>
                    <xdr:rowOff>0</xdr:rowOff>
                  </from>
                  <to>
                    <xdr:col>10</xdr:col>
                    <xdr:colOff>76200</xdr:colOff>
                    <xdr:row>21</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9</xdr:col>
                    <xdr:colOff>76200</xdr:colOff>
                    <xdr:row>21</xdr:row>
                    <xdr:rowOff>0</xdr:rowOff>
                  </from>
                  <to>
                    <xdr:col>10</xdr:col>
                    <xdr:colOff>76200</xdr:colOff>
                    <xdr:row>22</xdr:row>
                    <xdr:rowOff>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9</xdr:col>
                    <xdr:colOff>76200</xdr:colOff>
                    <xdr:row>22</xdr:row>
                    <xdr:rowOff>0</xdr:rowOff>
                  </from>
                  <to>
                    <xdr:col>10</xdr:col>
                    <xdr:colOff>76200</xdr:colOff>
                    <xdr:row>23</xdr:row>
                    <xdr:rowOff>0</xdr:rowOff>
                  </to>
                </anchor>
              </controlPr>
            </control>
          </mc:Choice>
        </mc:AlternateContent>
        <mc:AlternateContent xmlns:mc="http://schemas.openxmlformats.org/markup-compatibility/2006">
          <mc:Choice Requires="x14">
            <control shapeId="8215" r:id="rId22" name="Group Box 23">
              <controlPr defaultSize="0" autoFill="0" autoPict="0">
                <anchor moveWithCells="1">
                  <from>
                    <xdr:col>0</xdr:col>
                    <xdr:colOff>9525</xdr:colOff>
                    <xdr:row>32</xdr:row>
                    <xdr:rowOff>9525</xdr:rowOff>
                  </from>
                  <to>
                    <xdr:col>1</xdr:col>
                    <xdr:colOff>0</xdr:colOff>
                    <xdr:row>39</xdr:row>
                    <xdr:rowOff>9525</xdr:rowOff>
                  </to>
                </anchor>
              </controlPr>
            </control>
          </mc:Choice>
        </mc:AlternateContent>
        <mc:AlternateContent xmlns:mc="http://schemas.openxmlformats.org/markup-compatibility/2006">
          <mc:Choice Requires="x14">
            <control shapeId="8216" r:id="rId23" name="Group Box 24">
              <controlPr defaultSize="0" autoFill="0" autoPict="0">
                <anchor moveWithCells="1">
                  <from>
                    <xdr:col>0</xdr:col>
                    <xdr:colOff>0</xdr:colOff>
                    <xdr:row>42</xdr:row>
                    <xdr:rowOff>0</xdr:rowOff>
                  </from>
                  <to>
                    <xdr:col>1</xdr:col>
                    <xdr:colOff>9525</xdr:colOff>
                    <xdr:row>57</xdr:row>
                    <xdr:rowOff>152400</xdr:rowOff>
                  </to>
                </anchor>
              </controlPr>
            </control>
          </mc:Choice>
        </mc:AlternateContent>
        <mc:AlternateContent xmlns:mc="http://schemas.openxmlformats.org/markup-compatibility/2006">
          <mc:Choice Requires="x14">
            <control shapeId="8217" r:id="rId24" name="Group Box 25">
              <controlPr defaultSize="0" autoFill="0" autoPict="0">
                <anchor moveWithCells="1">
                  <from>
                    <xdr:col>1</xdr:col>
                    <xdr:colOff>0</xdr:colOff>
                    <xdr:row>42</xdr:row>
                    <xdr:rowOff>0</xdr:rowOff>
                  </from>
                  <to>
                    <xdr:col>2</xdr:col>
                    <xdr:colOff>9525</xdr:colOff>
                    <xdr:row>57</xdr:row>
                    <xdr:rowOff>152400</xdr:rowOff>
                  </to>
                </anchor>
              </controlPr>
            </control>
          </mc:Choice>
        </mc:AlternateContent>
        <mc:AlternateContent xmlns:mc="http://schemas.openxmlformats.org/markup-compatibility/2006">
          <mc:Choice Requires="x14">
            <control shapeId="8218" r:id="rId25" name="Option Button 26">
              <controlPr locked="0" defaultSize="0" autoFill="0" autoLine="0" autoPict="0">
                <anchor moveWithCells="1">
                  <from>
                    <xdr:col>0</xdr:col>
                    <xdr:colOff>9525</xdr:colOff>
                    <xdr:row>42</xdr:row>
                    <xdr:rowOff>9525</xdr:rowOff>
                  </from>
                  <to>
                    <xdr:col>0</xdr:col>
                    <xdr:colOff>190500</xdr:colOff>
                    <xdr:row>43</xdr:row>
                    <xdr:rowOff>0</xdr:rowOff>
                  </to>
                </anchor>
              </controlPr>
            </control>
          </mc:Choice>
        </mc:AlternateContent>
        <mc:AlternateContent xmlns:mc="http://schemas.openxmlformats.org/markup-compatibility/2006">
          <mc:Choice Requires="x14">
            <control shapeId="8219" r:id="rId26" name="Option Button 27">
              <controlPr locked="0" defaultSize="0" autoFill="0" autoLine="0" autoPict="0">
                <anchor moveWithCells="1">
                  <from>
                    <xdr:col>0</xdr:col>
                    <xdr:colOff>9525</xdr:colOff>
                    <xdr:row>47</xdr:row>
                    <xdr:rowOff>9525</xdr:rowOff>
                  </from>
                  <to>
                    <xdr:col>0</xdr:col>
                    <xdr:colOff>190500</xdr:colOff>
                    <xdr:row>48</xdr:row>
                    <xdr:rowOff>0</xdr:rowOff>
                  </to>
                </anchor>
              </controlPr>
            </control>
          </mc:Choice>
        </mc:AlternateContent>
        <mc:AlternateContent xmlns:mc="http://schemas.openxmlformats.org/markup-compatibility/2006">
          <mc:Choice Requires="x14">
            <control shapeId="8220" r:id="rId27" name="Option Button 28">
              <controlPr locked="0" defaultSize="0" autoFill="0" autoLine="0" autoPict="0">
                <anchor moveWithCells="1">
                  <from>
                    <xdr:col>0</xdr:col>
                    <xdr:colOff>9525</xdr:colOff>
                    <xdr:row>52</xdr:row>
                    <xdr:rowOff>9525</xdr:rowOff>
                  </from>
                  <to>
                    <xdr:col>0</xdr:col>
                    <xdr:colOff>190500</xdr:colOff>
                    <xdr:row>53</xdr:row>
                    <xdr:rowOff>0</xdr:rowOff>
                  </to>
                </anchor>
              </controlPr>
            </control>
          </mc:Choice>
        </mc:AlternateContent>
        <mc:AlternateContent xmlns:mc="http://schemas.openxmlformats.org/markup-compatibility/2006">
          <mc:Choice Requires="x14">
            <control shapeId="8221" r:id="rId28" name="Option Button 29">
              <controlPr locked="0" defaultSize="0" autoFill="0" autoLine="0" autoPict="0">
                <anchor moveWithCells="1">
                  <from>
                    <xdr:col>0</xdr:col>
                    <xdr:colOff>9525</xdr:colOff>
                    <xdr:row>54</xdr:row>
                    <xdr:rowOff>9525</xdr:rowOff>
                  </from>
                  <to>
                    <xdr:col>0</xdr:col>
                    <xdr:colOff>190500</xdr:colOff>
                    <xdr:row>55</xdr:row>
                    <xdr:rowOff>0</xdr:rowOff>
                  </to>
                </anchor>
              </controlPr>
            </control>
          </mc:Choice>
        </mc:AlternateContent>
        <mc:AlternateContent xmlns:mc="http://schemas.openxmlformats.org/markup-compatibility/2006">
          <mc:Choice Requires="x14">
            <control shapeId="8222" r:id="rId29" name="Option Button 30">
              <controlPr locked="0" defaultSize="0" autoFill="0" autoLine="0" autoPict="0">
                <anchor moveWithCells="1">
                  <from>
                    <xdr:col>0</xdr:col>
                    <xdr:colOff>9525</xdr:colOff>
                    <xdr:row>56</xdr:row>
                    <xdr:rowOff>9525</xdr:rowOff>
                  </from>
                  <to>
                    <xdr:col>0</xdr:col>
                    <xdr:colOff>190500</xdr:colOff>
                    <xdr:row>57</xdr:row>
                    <xdr:rowOff>0</xdr:rowOff>
                  </to>
                </anchor>
              </controlPr>
            </control>
          </mc:Choice>
        </mc:AlternateContent>
        <mc:AlternateContent xmlns:mc="http://schemas.openxmlformats.org/markup-compatibility/2006">
          <mc:Choice Requires="x14">
            <control shapeId="8223" r:id="rId30" name="Option Button 31">
              <controlPr locked="0" defaultSize="0" autoFill="0" autoLine="0" autoPict="0">
                <anchor moveWithCells="1">
                  <from>
                    <xdr:col>1</xdr:col>
                    <xdr:colOff>9525</xdr:colOff>
                    <xdr:row>42</xdr:row>
                    <xdr:rowOff>9525</xdr:rowOff>
                  </from>
                  <to>
                    <xdr:col>1</xdr:col>
                    <xdr:colOff>190500</xdr:colOff>
                    <xdr:row>43</xdr:row>
                    <xdr:rowOff>0</xdr:rowOff>
                  </to>
                </anchor>
              </controlPr>
            </control>
          </mc:Choice>
        </mc:AlternateContent>
        <mc:AlternateContent xmlns:mc="http://schemas.openxmlformats.org/markup-compatibility/2006">
          <mc:Choice Requires="x14">
            <control shapeId="8224" r:id="rId31" name="Option Button 32">
              <controlPr locked="0" defaultSize="0" autoFill="0" autoLine="0" autoPict="0">
                <anchor moveWithCells="1">
                  <from>
                    <xdr:col>1</xdr:col>
                    <xdr:colOff>9525</xdr:colOff>
                    <xdr:row>47</xdr:row>
                    <xdr:rowOff>9525</xdr:rowOff>
                  </from>
                  <to>
                    <xdr:col>1</xdr:col>
                    <xdr:colOff>190500</xdr:colOff>
                    <xdr:row>48</xdr:row>
                    <xdr:rowOff>0</xdr:rowOff>
                  </to>
                </anchor>
              </controlPr>
            </control>
          </mc:Choice>
        </mc:AlternateContent>
        <mc:AlternateContent xmlns:mc="http://schemas.openxmlformats.org/markup-compatibility/2006">
          <mc:Choice Requires="x14">
            <control shapeId="8225" r:id="rId32" name="Option Button 33">
              <controlPr locked="0" defaultSize="0" autoFill="0" autoLine="0" autoPict="0">
                <anchor moveWithCells="1">
                  <from>
                    <xdr:col>1</xdr:col>
                    <xdr:colOff>9525</xdr:colOff>
                    <xdr:row>52</xdr:row>
                    <xdr:rowOff>9525</xdr:rowOff>
                  </from>
                  <to>
                    <xdr:col>1</xdr:col>
                    <xdr:colOff>190500</xdr:colOff>
                    <xdr:row>53</xdr:row>
                    <xdr:rowOff>0</xdr:rowOff>
                  </to>
                </anchor>
              </controlPr>
            </control>
          </mc:Choice>
        </mc:AlternateContent>
        <mc:AlternateContent xmlns:mc="http://schemas.openxmlformats.org/markup-compatibility/2006">
          <mc:Choice Requires="x14">
            <control shapeId="8226" r:id="rId33" name="Option Button 34">
              <controlPr locked="0" defaultSize="0" autoFill="0" autoLine="0" autoPict="0">
                <anchor moveWithCells="1">
                  <from>
                    <xdr:col>1</xdr:col>
                    <xdr:colOff>9525</xdr:colOff>
                    <xdr:row>54</xdr:row>
                    <xdr:rowOff>9525</xdr:rowOff>
                  </from>
                  <to>
                    <xdr:col>1</xdr:col>
                    <xdr:colOff>190500</xdr:colOff>
                    <xdr:row>55</xdr:row>
                    <xdr:rowOff>0</xdr:rowOff>
                  </to>
                </anchor>
              </controlPr>
            </control>
          </mc:Choice>
        </mc:AlternateContent>
        <mc:AlternateContent xmlns:mc="http://schemas.openxmlformats.org/markup-compatibility/2006">
          <mc:Choice Requires="x14">
            <control shapeId="8227" r:id="rId34" name="Option Button 35">
              <controlPr locked="0" defaultSize="0" autoFill="0" autoLine="0" autoPict="0">
                <anchor moveWithCells="1">
                  <from>
                    <xdr:col>1</xdr:col>
                    <xdr:colOff>9525</xdr:colOff>
                    <xdr:row>56</xdr:row>
                    <xdr:rowOff>9525</xdr:rowOff>
                  </from>
                  <to>
                    <xdr:col>1</xdr:col>
                    <xdr:colOff>190500</xdr:colOff>
                    <xdr:row>57</xdr:row>
                    <xdr:rowOff>0</xdr:rowOff>
                  </to>
                </anchor>
              </controlPr>
            </control>
          </mc:Choice>
        </mc:AlternateContent>
        <mc:AlternateContent xmlns:mc="http://schemas.openxmlformats.org/markup-compatibility/2006">
          <mc:Choice Requires="x14">
            <control shapeId="8228" r:id="rId35" name="Option Button 36">
              <controlPr locked="0" defaultSize="0" autoFill="0" autoLine="0" autoPict="0">
                <anchor moveWithCells="1">
                  <from>
                    <xdr:col>0</xdr:col>
                    <xdr:colOff>9525</xdr:colOff>
                    <xdr:row>32</xdr:row>
                    <xdr:rowOff>9525</xdr:rowOff>
                  </from>
                  <to>
                    <xdr:col>0</xdr:col>
                    <xdr:colOff>190500</xdr:colOff>
                    <xdr:row>33</xdr:row>
                    <xdr:rowOff>0</xdr:rowOff>
                  </to>
                </anchor>
              </controlPr>
            </control>
          </mc:Choice>
        </mc:AlternateContent>
        <mc:AlternateContent xmlns:mc="http://schemas.openxmlformats.org/markup-compatibility/2006">
          <mc:Choice Requires="x14">
            <control shapeId="8229" r:id="rId36" name="Option Button 37">
              <controlPr locked="0" defaultSize="0" autoFill="0" autoLine="0" autoPict="0">
                <anchor moveWithCells="1">
                  <from>
                    <xdr:col>0</xdr:col>
                    <xdr:colOff>9525</xdr:colOff>
                    <xdr:row>37</xdr:row>
                    <xdr:rowOff>9525</xdr:rowOff>
                  </from>
                  <to>
                    <xdr:col>0</xdr:col>
                    <xdr:colOff>190500</xdr:colOff>
                    <xdr:row>38</xdr:row>
                    <xdr:rowOff>0</xdr:rowOff>
                  </to>
                </anchor>
              </controlPr>
            </control>
          </mc:Choice>
        </mc:AlternateContent>
        <mc:AlternateContent xmlns:mc="http://schemas.openxmlformats.org/markup-compatibility/2006">
          <mc:Choice Requires="x14">
            <control shapeId="8230" r:id="rId37" name="Option Button 38">
              <controlPr locked="0" defaultSize="0" autoFill="0" autoLine="0" autoPict="0">
                <anchor moveWithCells="1">
                  <from>
                    <xdr:col>0</xdr:col>
                    <xdr:colOff>9525</xdr:colOff>
                    <xdr:row>38</xdr:row>
                    <xdr:rowOff>9525</xdr:rowOff>
                  </from>
                  <to>
                    <xdr:col>0</xdr:col>
                    <xdr:colOff>190500</xdr:colOff>
                    <xdr:row>39</xdr:row>
                    <xdr:rowOff>0</xdr:rowOff>
                  </to>
                </anchor>
              </controlPr>
            </control>
          </mc:Choice>
        </mc:AlternateContent>
        <mc:AlternateContent xmlns:mc="http://schemas.openxmlformats.org/markup-compatibility/2006">
          <mc:Choice Requires="x14">
            <control shapeId="8231" r:id="rId38" name="Check Box 39">
              <controlPr locked="0" defaultSize="0" autoFill="0" autoLine="0" autoPict="0">
                <anchor moveWithCells="1">
                  <from>
                    <xdr:col>9</xdr:col>
                    <xdr:colOff>76200</xdr:colOff>
                    <xdr:row>11</xdr:row>
                    <xdr:rowOff>0</xdr:rowOff>
                  </from>
                  <to>
                    <xdr:col>10</xdr:col>
                    <xdr:colOff>76200</xdr:colOff>
                    <xdr:row>12</xdr:row>
                    <xdr:rowOff>0</xdr:rowOff>
                  </to>
                </anchor>
              </controlPr>
            </control>
          </mc:Choice>
        </mc:AlternateContent>
        <mc:AlternateContent xmlns:mc="http://schemas.openxmlformats.org/markup-compatibility/2006">
          <mc:Choice Requires="x14">
            <control shapeId="8232" r:id="rId39" name="Check Box 40">
              <controlPr locked="0" defaultSize="0" autoFill="0" autoLine="0" autoPict="0">
                <anchor moveWithCells="1">
                  <from>
                    <xdr:col>9</xdr:col>
                    <xdr:colOff>76200</xdr:colOff>
                    <xdr:row>12</xdr:row>
                    <xdr:rowOff>0</xdr:rowOff>
                  </from>
                  <to>
                    <xdr:col>10</xdr:col>
                    <xdr:colOff>76200</xdr:colOff>
                    <xdr:row>13</xdr:row>
                    <xdr:rowOff>0</xdr:rowOff>
                  </to>
                </anchor>
              </controlPr>
            </control>
          </mc:Choice>
        </mc:AlternateContent>
        <mc:AlternateContent xmlns:mc="http://schemas.openxmlformats.org/markup-compatibility/2006">
          <mc:Choice Requires="x14">
            <control shapeId="8233" r:id="rId40" name="Check Box 41">
              <controlPr locked="0" defaultSize="0" autoFill="0" autoLine="0" autoPict="0">
                <anchor moveWithCells="1">
                  <from>
                    <xdr:col>9</xdr:col>
                    <xdr:colOff>76200</xdr:colOff>
                    <xdr:row>13</xdr:row>
                    <xdr:rowOff>0</xdr:rowOff>
                  </from>
                  <to>
                    <xdr:col>10</xdr:col>
                    <xdr:colOff>76200</xdr:colOff>
                    <xdr:row>14</xdr:row>
                    <xdr:rowOff>0</xdr:rowOff>
                  </to>
                </anchor>
              </controlPr>
            </control>
          </mc:Choice>
        </mc:AlternateContent>
        <mc:AlternateContent xmlns:mc="http://schemas.openxmlformats.org/markup-compatibility/2006">
          <mc:Choice Requires="x14">
            <control shapeId="8234" r:id="rId41" name="Check Box 42">
              <controlPr locked="0" defaultSize="0" autoFill="0" autoLine="0" autoPict="0">
                <anchor moveWithCells="1">
                  <from>
                    <xdr:col>9</xdr:col>
                    <xdr:colOff>76200</xdr:colOff>
                    <xdr:row>14</xdr:row>
                    <xdr:rowOff>0</xdr:rowOff>
                  </from>
                  <to>
                    <xdr:col>10</xdr:col>
                    <xdr:colOff>76200</xdr:colOff>
                    <xdr:row>15</xdr:row>
                    <xdr:rowOff>0</xdr:rowOff>
                  </to>
                </anchor>
              </controlPr>
            </control>
          </mc:Choice>
        </mc:AlternateContent>
        <mc:AlternateContent xmlns:mc="http://schemas.openxmlformats.org/markup-compatibility/2006">
          <mc:Choice Requires="x14">
            <control shapeId="8235" r:id="rId42" name="Check Box 43">
              <controlPr locked="0" defaultSize="0" autoFill="0" autoLine="0" autoPict="0">
                <anchor moveWithCells="1">
                  <from>
                    <xdr:col>9</xdr:col>
                    <xdr:colOff>76200</xdr:colOff>
                    <xdr:row>15</xdr:row>
                    <xdr:rowOff>0</xdr:rowOff>
                  </from>
                  <to>
                    <xdr:col>10</xdr:col>
                    <xdr:colOff>76200</xdr:colOff>
                    <xdr:row>16</xdr:row>
                    <xdr:rowOff>0</xdr:rowOff>
                  </to>
                </anchor>
              </controlPr>
            </control>
          </mc:Choice>
        </mc:AlternateContent>
        <mc:AlternateContent xmlns:mc="http://schemas.openxmlformats.org/markup-compatibility/2006">
          <mc:Choice Requires="x14">
            <control shapeId="8236" r:id="rId43" name="Check Box 44">
              <controlPr locked="0" defaultSize="0" autoFill="0" autoLine="0" autoPict="0">
                <anchor moveWithCells="1">
                  <from>
                    <xdr:col>9</xdr:col>
                    <xdr:colOff>76200</xdr:colOff>
                    <xdr:row>16</xdr:row>
                    <xdr:rowOff>0</xdr:rowOff>
                  </from>
                  <to>
                    <xdr:col>10</xdr:col>
                    <xdr:colOff>76200</xdr:colOff>
                    <xdr:row>17</xdr:row>
                    <xdr:rowOff>0</xdr:rowOff>
                  </to>
                </anchor>
              </controlPr>
            </control>
          </mc:Choice>
        </mc:AlternateContent>
        <mc:AlternateContent xmlns:mc="http://schemas.openxmlformats.org/markup-compatibility/2006">
          <mc:Choice Requires="x14">
            <control shapeId="8237" r:id="rId44" name="Check Box 45">
              <controlPr locked="0" defaultSize="0" autoFill="0" autoLine="0" autoPict="0">
                <anchor moveWithCells="1">
                  <from>
                    <xdr:col>9</xdr:col>
                    <xdr:colOff>76200</xdr:colOff>
                    <xdr:row>17</xdr:row>
                    <xdr:rowOff>0</xdr:rowOff>
                  </from>
                  <to>
                    <xdr:col>10</xdr:col>
                    <xdr:colOff>76200</xdr:colOff>
                    <xdr:row>18</xdr:row>
                    <xdr:rowOff>0</xdr:rowOff>
                  </to>
                </anchor>
              </controlPr>
            </control>
          </mc:Choice>
        </mc:AlternateContent>
        <mc:AlternateContent xmlns:mc="http://schemas.openxmlformats.org/markup-compatibility/2006">
          <mc:Choice Requires="x14">
            <control shapeId="8238" r:id="rId45" name="Check Box 46">
              <controlPr locked="0" defaultSize="0" autoFill="0" autoLine="0" autoPict="0">
                <anchor moveWithCells="1">
                  <from>
                    <xdr:col>9</xdr:col>
                    <xdr:colOff>76200</xdr:colOff>
                    <xdr:row>18</xdr:row>
                    <xdr:rowOff>0</xdr:rowOff>
                  </from>
                  <to>
                    <xdr:col>10</xdr:col>
                    <xdr:colOff>76200</xdr:colOff>
                    <xdr:row>19</xdr:row>
                    <xdr:rowOff>0</xdr:rowOff>
                  </to>
                </anchor>
              </controlPr>
            </control>
          </mc:Choice>
        </mc:AlternateContent>
        <mc:AlternateContent xmlns:mc="http://schemas.openxmlformats.org/markup-compatibility/2006">
          <mc:Choice Requires="x14">
            <control shapeId="8239" r:id="rId46" name="Check Box 47">
              <controlPr locked="0" defaultSize="0" autoFill="0" autoLine="0" autoPict="0">
                <anchor moveWithCells="1">
                  <from>
                    <xdr:col>9</xdr:col>
                    <xdr:colOff>76200</xdr:colOff>
                    <xdr:row>19</xdr:row>
                    <xdr:rowOff>0</xdr:rowOff>
                  </from>
                  <to>
                    <xdr:col>10</xdr:col>
                    <xdr:colOff>76200</xdr:colOff>
                    <xdr:row>20</xdr:row>
                    <xdr:rowOff>0</xdr:rowOff>
                  </to>
                </anchor>
              </controlPr>
            </control>
          </mc:Choice>
        </mc:AlternateContent>
        <mc:AlternateContent xmlns:mc="http://schemas.openxmlformats.org/markup-compatibility/2006">
          <mc:Choice Requires="x14">
            <control shapeId="8240" r:id="rId47" name="Check Box 48">
              <controlPr locked="0" defaultSize="0" autoFill="0" autoLine="0" autoPict="0">
                <anchor moveWithCells="1">
                  <from>
                    <xdr:col>9</xdr:col>
                    <xdr:colOff>76200</xdr:colOff>
                    <xdr:row>20</xdr:row>
                    <xdr:rowOff>0</xdr:rowOff>
                  </from>
                  <to>
                    <xdr:col>10</xdr:col>
                    <xdr:colOff>76200</xdr:colOff>
                    <xdr:row>21</xdr:row>
                    <xdr:rowOff>0</xdr:rowOff>
                  </to>
                </anchor>
              </controlPr>
            </control>
          </mc:Choice>
        </mc:AlternateContent>
        <mc:AlternateContent xmlns:mc="http://schemas.openxmlformats.org/markup-compatibility/2006">
          <mc:Choice Requires="x14">
            <control shapeId="8241" r:id="rId48" name="Check Box 49">
              <controlPr locked="0" defaultSize="0" autoFill="0" autoLine="0" autoPict="0">
                <anchor moveWithCells="1">
                  <from>
                    <xdr:col>9</xdr:col>
                    <xdr:colOff>76200</xdr:colOff>
                    <xdr:row>21</xdr:row>
                    <xdr:rowOff>0</xdr:rowOff>
                  </from>
                  <to>
                    <xdr:col>10</xdr:col>
                    <xdr:colOff>76200</xdr:colOff>
                    <xdr:row>22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2D050"/>
  </sheetPr>
  <dimension ref="A1:I31"/>
  <sheetViews>
    <sheetView zoomScaleNormal="100" workbookViewId="0">
      <selection activeCell="A4" sqref="A4"/>
    </sheetView>
  </sheetViews>
  <sheetFormatPr defaultRowHeight="15" x14ac:dyDescent="0.25"/>
  <cols>
    <col min="1" max="2" width="10.7109375" customWidth="1"/>
    <col min="3" max="3" width="5.7109375" customWidth="1"/>
  </cols>
  <sheetData>
    <row r="1" spans="1:3" s="1" customFormat="1" ht="15.75" thickBot="1" x14ac:dyDescent="0.3">
      <c r="A1" s="526" t="s">
        <v>201</v>
      </c>
      <c r="B1" s="693"/>
      <c r="C1" s="527"/>
    </row>
    <row r="2" spans="1:3" x14ac:dyDescent="0.25">
      <c r="A2" s="26" t="s">
        <v>202</v>
      </c>
      <c r="B2" s="27" t="s">
        <v>203</v>
      </c>
      <c r="C2" s="28" t="s">
        <v>31</v>
      </c>
    </row>
    <row r="3" spans="1:3" x14ac:dyDescent="0.25">
      <c r="A3" s="357">
        <v>0</v>
      </c>
      <c r="B3" s="281"/>
      <c r="C3" s="358">
        <v>1</v>
      </c>
    </row>
    <row r="4" spans="1:3" x14ac:dyDescent="0.25">
      <c r="A4" s="278"/>
      <c r="B4" s="282"/>
      <c r="C4" s="358">
        <v>2</v>
      </c>
    </row>
    <row r="5" spans="1:3" x14ac:dyDescent="0.25">
      <c r="A5" s="279"/>
      <c r="B5" s="281"/>
      <c r="C5" s="358">
        <v>3</v>
      </c>
    </row>
    <row r="6" spans="1:3" x14ac:dyDescent="0.25">
      <c r="A6" s="278"/>
      <c r="B6" s="282"/>
      <c r="C6" s="358">
        <v>4</v>
      </c>
    </row>
    <row r="7" spans="1:3" x14ac:dyDescent="0.25">
      <c r="A7" s="279"/>
      <c r="B7" s="281"/>
      <c r="C7" s="358">
        <v>5</v>
      </c>
    </row>
    <row r="8" spans="1:3" x14ac:dyDescent="0.25">
      <c r="A8" s="278"/>
      <c r="B8" s="282"/>
      <c r="C8" s="358">
        <v>6</v>
      </c>
    </row>
    <row r="9" spans="1:3" x14ac:dyDescent="0.25">
      <c r="A9" s="279"/>
      <c r="B9" s="281"/>
      <c r="C9" s="358">
        <v>7</v>
      </c>
    </row>
    <row r="10" spans="1:3" x14ac:dyDescent="0.25">
      <c r="A10" s="278"/>
      <c r="B10" s="282"/>
      <c r="C10" s="358">
        <v>8</v>
      </c>
    </row>
    <row r="11" spans="1:3" x14ac:dyDescent="0.25">
      <c r="A11" s="279"/>
      <c r="B11" s="281"/>
      <c r="C11" s="358">
        <v>9</v>
      </c>
    </row>
    <row r="12" spans="1:3" x14ac:dyDescent="0.25">
      <c r="A12" s="278"/>
      <c r="B12" s="282"/>
      <c r="C12" s="358">
        <v>10</v>
      </c>
    </row>
    <row r="13" spans="1:3" x14ac:dyDescent="0.25">
      <c r="A13" s="279"/>
      <c r="B13" s="281"/>
      <c r="C13" s="358">
        <v>11</v>
      </c>
    </row>
    <row r="14" spans="1:3" x14ac:dyDescent="0.25">
      <c r="A14" s="278"/>
      <c r="B14" s="282"/>
      <c r="C14" s="358">
        <v>12</v>
      </c>
    </row>
    <row r="15" spans="1:3" x14ac:dyDescent="0.25">
      <c r="A15" s="279"/>
      <c r="B15" s="281"/>
      <c r="C15" s="358">
        <v>13</v>
      </c>
    </row>
    <row r="16" spans="1:3" x14ac:dyDescent="0.25">
      <c r="A16" s="278"/>
      <c r="B16" s="282"/>
      <c r="C16" s="358">
        <v>14</v>
      </c>
    </row>
    <row r="17" spans="1:9" ht="15.75" thickBot="1" x14ac:dyDescent="0.3">
      <c r="A17" s="280"/>
      <c r="B17" s="283"/>
      <c r="C17" s="359">
        <v>15</v>
      </c>
      <c r="D17" s="1"/>
      <c r="E17" s="1"/>
      <c r="F17" s="1"/>
      <c r="G17" s="1"/>
      <c r="H17" s="1"/>
      <c r="I17" s="1"/>
    </row>
    <row r="19" spans="1:9" x14ac:dyDescent="0.25">
      <c r="A19" s="634" t="s">
        <v>204</v>
      </c>
      <c r="B19" s="634"/>
      <c r="C19" s="332">
        <f>VLOOKUP(char_xp, A3:C17, 3, TRUE)</f>
        <v>1</v>
      </c>
      <c r="D19" s="1"/>
      <c r="E19" s="1"/>
      <c r="F19" s="1"/>
      <c r="G19" s="1"/>
      <c r="H19" s="1"/>
      <c r="I19" s="1"/>
    </row>
    <row r="20" spans="1:9" ht="15.75" thickBot="1" x14ac:dyDescent="0.3">
      <c r="A20" s="1"/>
      <c r="B20" s="1"/>
      <c r="C20" s="1"/>
      <c r="D20" s="1"/>
      <c r="E20" s="1"/>
      <c r="F20" s="1"/>
      <c r="G20" s="1"/>
      <c r="H20" s="1"/>
      <c r="I20" s="1"/>
    </row>
    <row r="21" spans="1:9" x14ac:dyDescent="0.25">
      <c r="A21" s="836" t="s">
        <v>205</v>
      </c>
      <c r="B21" s="837"/>
      <c r="C21" s="837"/>
      <c r="D21" s="837"/>
      <c r="E21" s="837"/>
      <c r="F21" s="837"/>
      <c r="G21" s="837"/>
      <c r="H21" s="837"/>
      <c r="I21" s="838"/>
    </row>
    <row r="22" spans="1:9" x14ac:dyDescent="0.25">
      <c r="A22" s="839"/>
      <c r="B22" s="840"/>
      <c r="C22" s="840"/>
      <c r="D22" s="840"/>
      <c r="E22" s="840"/>
      <c r="F22" s="840"/>
      <c r="G22" s="840"/>
      <c r="H22" s="840"/>
      <c r="I22" s="841"/>
    </row>
    <row r="23" spans="1:9" ht="15" customHeight="1" x14ac:dyDescent="0.25">
      <c r="A23" s="845" t="s">
        <v>206</v>
      </c>
      <c r="B23" s="846"/>
      <c r="C23" s="846"/>
      <c r="D23" s="846"/>
      <c r="E23" s="846"/>
      <c r="F23" s="846"/>
      <c r="G23" s="846"/>
      <c r="H23" s="846"/>
      <c r="I23" s="847"/>
    </row>
    <row r="24" spans="1:9" s="1" customFormat="1" x14ac:dyDescent="0.25">
      <c r="A24" s="845"/>
      <c r="B24" s="846"/>
      <c r="C24" s="846"/>
      <c r="D24" s="846"/>
      <c r="E24" s="846"/>
      <c r="F24" s="846"/>
      <c r="G24" s="846"/>
      <c r="H24" s="846"/>
      <c r="I24" s="847"/>
    </row>
    <row r="25" spans="1:9" s="1" customFormat="1" x14ac:dyDescent="0.25">
      <c r="A25" s="845"/>
      <c r="B25" s="846"/>
      <c r="C25" s="846"/>
      <c r="D25" s="846"/>
      <c r="E25" s="846"/>
      <c r="F25" s="846"/>
      <c r="G25" s="846"/>
      <c r="H25" s="846"/>
      <c r="I25" s="847"/>
    </row>
    <row r="26" spans="1:9" s="1" customFormat="1" x14ac:dyDescent="0.25">
      <c r="A26" s="845"/>
      <c r="B26" s="846"/>
      <c r="C26" s="846"/>
      <c r="D26" s="846"/>
      <c r="E26" s="846"/>
      <c r="F26" s="846"/>
      <c r="G26" s="846"/>
      <c r="H26" s="846"/>
      <c r="I26" s="847"/>
    </row>
    <row r="27" spans="1:9" s="1" customFormat="1" x14ac:dyDescent="0.25">
      <c r="A27" s="845"/>
      <c r="B27" s="846"/>
      <c r="C27" s="846"/>
      <c r="D27" s="846"/>
      <c r="E27" s="846"/>
      <c r="F27" s="846"/>
      <c r="G27" s="846"/>
      <c r="H27" s="846"/>
      <c r="I27" s="847"/>
    </row>
    <row r="28" spans="1:9" s="1" customFormat="1" x14ac:dyDescent="0.25">
      <c r="A28" s="845"/>
      <c r="B28" s="846"/>
      <c r="C28" s="846"/>
      <c r="D28" s="846"/>
      <c r="E28" s="846"/>
      <c r="F28" s="846"/>
      <c r="G28" s="846"/>
      <c r="H28" s="846"/>
      <c r="I28" s="847"/>
    </row>
    <row r="29" spans="1:9" s="1" customFormat="1" x14ac:dyDescent="0.25">
      <c r="A29" s="845"/>
      <c r="B29" s="846"/>
      <c r="C29" s="846"/>
      <c r="D29" s="846"/>
      <c r="E29" s="846"/>
      <c r="F29" s="846"/>
      <c r="G29" s="846"/>
      <c r="H29" s="846"/>
      <c r="I29" s="847"/>
    </row>
    <row r="30" spans="1:9" s="1" customFormat="1" x14ac:dyDescent="0.25">
      <c r="A30" s="845"/>
      <c r="B30" s="846"/>
      <c r="C30" s="846"/>
      <c r="D30" s="846"/>
      <c r="E30" s="846"/>
      <c r="F30" s="846"/>
      <c r="G30" s="846"/>
      <c r="H30" s="846"/>
      <c r="I30" s="847"/>
    </row>
    <row r="31" spans="1:9" ht="15.75" thickBot="1" x14ac:dyDescent="0.3">
      <c r="A31" s="842" t="s">
        <v>207</v>
      </c>
      <c r="B31" s="843"/>
      <c r="C31" s="843"/>
      <c r="D31" s="843"/>
      <c r="E31" s="843"/>
      <c r="F31" s="843"/>
      <c r="G31" s="843"/>
      <c r="H31" s="843"/>
      <c r="I31" s="844"/>
    </row>
  </sheetData>
  <sheetProtection algorithmName="SHA-512" hashValue="MD5118guIid6Rq7L967Qk7aps9g0fh+FV2C97x54964oGWql/Luwlj4pA4HDM7HQIyPKdwONR9GFcmrlgsvAvg==" saltValue="fGNWLRQVDUY4lVRXXB00OQ==" spinCount="100000" sheet="1" objects="1" scenarios="1" selectLockedCells="1"/>
  <mergeCells count="5">
    <mergeCell ref="A1:C1"/>
    <mergeCell ref="A19:B19"/>
    <mergeCell ref="A21:I22"/>
    <mergeCell ref="A31:I31"/>
    <mergeCell ref="A23:I30"/>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8" tint="0.39997558519241921"/>
  </sheetPr>
  <dimension ref="A1:R39"/>
  <sheetViews>
    <sheetView zoomScaleNormal="100" workbookViewId="0">
      <selection activeCell="A2" sqref="A2:I9"/>
    </sheetView>
  </sheetViews>
  <sheetFormatPr defaultRowHeight="15" x14ac:dyDescent="0.25"/>
  <sheetData>
    <row r="1" spans="1:18" ht="15.75" thickBot="1" x14ac:dyDescent="0.3">
      <c r="A1" s="392" t="s">
        <v>121</v>
      </c>
      <c r="B1" s="393"/>
      <c r="C1" s="393"/>
      <c r="D1" s="393"/>
      <c r="E1" s="393"/>
      <c r="F1" s="393"/>
      <c r="G1" s="393"/>
      <c r="H1" s="393"/>
      <c r="I1" s="394"/>
      <c r="J1" s="1"/>
      <c r="K1" s="1"/>
      <c r="L1" s="1"/>
      <c r="M1" s="1"/>
      <c r="N1" s="1"/>
      <c r="O1" s="1"/>
      <c r="P1" s="1"/>
      <c r="Q1" s="1"/>
      <c r="R1" s="1"/>
    </row>
    <row r="2" spans="1:18" s="1" customFormat="1" ht="15" customHeight="1" x14ac:dyDescent="0.25">
      <c r="A2" s="851" t="s">
        <v>208</v>
      </c>
      <c r="B2" s="852"/>
      <c r="C2" s="852"/>
      <c r="D2" s="852"/>
      <c r="E2" s="852"/>
      <c r="F2" s="852"/>
      <c r="G2" s="852"/>
      <c r="H2" s="852"/>
      <c r="I2" s="853"/>
      <c r="J2" s="29"/>
      <c r="K2" s="29"/>
      <c r="L2" s="29"/>
      <c r="M2" s="29"/>
      <c r="N2" s="29"/>
      <c r="O2" s="29"/>
      <c r="P2" s="29"/>
      <c r="Q2" s="29"/>
      <c r="R2" s="29"/>
    </row>
    <row r="3" spans="1:18" s="1" customFormat="1" x14ac:dyDescent="0.25">
      <c r="A3" s="845"/>
      <c r="B3" s="846"/>
      <c r="C3" s="846"/>
      <c r="D3" s="846"/>
      <c r="E3" s="846"/>
      <c r="F3" s="846"/>
      <c r="G3" s="846"/>
      <c r="H3" s="846"/>
      <c r="I3" s="847"/>
      <c r="J3" s="25"/>
      <c r="K3" s="25"/>
      <c r="L3" s="25"/>
      <c r="M3" s="25"/>
      <c r="N3" s="25"/>
      <c r="O3" s="25"/>
      <c r="P3" s="25"/>
      <c r="Q3" s="25"/>
      <c r="R3" s="25"/>
    </row>
    <row r="4" spans="1:18" s="1" customFormat="1" x14ac:dyDescent="0.25">
      <c r="A4" s="845"/>
      <c r="B4" s="846"/>
      <c r="C4" s="846"/>
      <c r="D4" s="846"/>
      <c r="E4" s="846"/>
      <c r="F4" s="846"/>
      <c r="G4" s="846"/>
      <c r="H4" s="846"/>
      <c r="I4" s="847"/>
      <c r="J4" s="25"/>
      <c r="K4" s="25"/>
      <c r="L4" s="25"/>
      <c r="M4" s="25"/>
      <c r="N4" s="25"/>
      <c r="O4" s="25"/>
      <c r="P4" s="25"/>
      <c r="Q4" s="25"/>
      <c r="R4" s="25"/>
    </row>
    <row r="5" spans="1:18" s="1" customFormat="1" x14ac:dyDescent="0.25">
      <c r="A5" s="845"/>
      <c r="B5" s="846"/>
      <c r="C5" s="846"/>
      <c r="D5" s="846"/>
      <c r="E5" s="846"/>
      <c r="F5" s="846"/>
      <c r="G5" s="846"/>
      <c r="H5" s="846"/>
      <c r="I5" s="847"/>
      <c r="J5" s="25"/>
      <c r="K5" s="25"/>
      <c r="L5" s="25"/>
      <c r="M5" s="25"/>
      <c r="N5" s="25"/>
      <c r="O5" s="25"/>
      <c r="P5" s="25"/>
      <c r="Q5" s="25"/>
      <c r="R5" s="25"/>
    </row>
    <row r="6" spans="1:18" s="1" customFormat="1" x14ac:dyDescent="0.25">
      <c r="A6" s="845"/>
      <c r="B6" s="846"/>
      <c r="C6" s="846"/>
      <c r="D6" s="846"/>
      <c r="E6" s="846"/>
      <c r="F6" s="846"/>
      <c r="G6" s="846"/>
      <c r="H6" s="846"/>
      <c r="I6" s="847"/>
      <c r="J6" s="25"/>
      <c r="K6" s="25"/>
      <c r="L6" s="25"/>
      <c r="M6" s="25"/>
      <c r="N6" s="25"/>
      <c r="O6" s="25"/>
      <c r="P6" s="25"/>
      <c r="Q6" s="25"/>
      <c r="R6" s="25"/>
    </row>
    <row r="7" spans="1:18" s="1" customFormat="1" x14ac:dyDescent="0.25">
      <c r="A7" s="845"/>
      <c r="B7" s="846"/>
      <c r="C7" s="846"/>
      <c r="D7" s="846"/>
      <c r="E7" s="846"/>
      <c r="F7" s="846"/>
      <c r="G7" s="846"/>
      <c r="H7" s="846"/>
      <c r="I7" s="847"/>
      <c r="J7" s="25"/>
      <c r="K7" s="25"/>
      <c r="L7" s="25"/>
      <c r="M7" s="25"/>
      <c r="N7" s="25"/>
      <c r="O7" s="25"/>
      <c r="P7" s="25"/>
      <c r="Q7" s="25"/>
      <c r="R7" s="25"/>
    </row>
    <row r="8" spans="1:18" s="1" customFormat="1" x14ac:dyDescent="0.25">
      <c r="A8" s="845"/>
      <c r="B8" s="846"/>
      <c r="C8" s="846"/>
      <c r="D8" s="846"/>
      <c r="E8" s="846"/>
      <c r="F8" s="846"/>
      <c r="G8" s="846"/>
      <c r="H8" s="846"/>
      <c r="I8" s="847"/>
      <c r="J8" s="25"/>
      <c r="K8" s="25"/>
      <c r="L8" s="25"/>
      <c r="M8" s="25"/>
      <c r="N8" s="25"/>
      <c r="O8" s="25"/>
      <c r="P8" s="25"/>
      <c r="Q8" s="25"/>
      <c r="R8" s="25"/>
    </row>
    <row r="9" spans="1:18" s="1" customFormat="1" x14ac:dyDescent="0.25">
      <c r="A9" s="845"/>
      <c r="B9" s="846"/>
      <c r="C9" s="846"/>
      <c r="D9" s="846"/>
      <c r="E9" s="846"/>
      <c r="F9" s="846"/>
      <c r="G9" s="846"/>
      <c r="H9" s="846"/>
      <c r="I9" s="847"/>
      <c r="J9" s="25"/>
      <c r="K9" s="25"/>
      <c r="L9" s="25"/>
      <c r="M9" s="25"/>
      <c r="N9" s="25"/>
      <c r="O9" s="25"/>
      <c r="P9" s="25"/>
      <c r="Q9" s="25"/>
      <c r="R9" s="25"/>
    </row>
    <row r="10" spans="1:18" s="1" customFormat="1" ht="15" customHeight="1" x14ac:dyDescent="0.25">
      <c r="A10" s="845" t="s">
        <v>209</v>
      </c>
      <c r="B10" s="846"/>
      <c r="C10" s="846"/>
      <c r="D10" s="846"/>
      <c r="E10" s="846"/>
      <c r="F10" s="846"/>
      <c r="G10" s="846"/>
      <c r="H10" s="846"/>
      <c r="I10" s="847"/>
    </row>
    <row r="11" spans="1:18" s="1" customFormat="1" x14ac:dyDescent="0.25">
      <c r="A11" s="845"/>
      <c r="B11" s="846"/>
      <c r="C11" s="846"/>
      <c r="D11" s="846"/>
      <c r="E11" s="846"/>
      <c r="F11" s="846"/>
      <c r="G11" s="846"/>
      <c r="H11" s="846"/>
      <c r="I11" s="847"/>
    </row>
    <row r="12" spans="1:18" s="1" customFormat="1" x14ac:dyDescent="0.25">
      <c r="A12" s="845"/>
      <c r="B12" s="846"/>
      <c r="C12" s="846"/>
      <c r="D12" s="846"/>
      <c r="E12" s="846"/>
      <c r="F12" s="846"/>
      <c r="G12" s="846"/>
      <c r="H12" s="846"/>
      <c r="I12" s="847"/>
    </row>
    <row r="13" spans="1:18" s="1" customFormat="1" x14ac:dyDescent="0.25">
      <c r="A13" s="845"/>
      <c r="B13" s="846"/>
      <c r="C13" s="846"/>
      <c r="D13" s="846"/>
      <c r="E13" s="846"/>
      <c r="F13" s="846"/>
      <c r="G13" s="846"/>
      <c r="H13" s="846"/>
      <c r="I13" s="847"/>
    </row>
    <row r="14" spans="1:18" s="1" customFormat="1" x14ac:dyDescent="0.25">
      <c r="A14" s="845"/>
      <c r="B14" s="846"/>
      <c r="C14" s="846"/>
      <c r="D14" s="846"/>
      <c r="E14" s="846"/>
      <c r="F14" s="846"/>
      <c r="G14" s="846"/>
      <c r="H14" s="846"/>
      <c r="I14" s="847"/>
    </row>
    <row r="15" spans="1:18" s="1" customFormat="1" ht="15" customHeight="1" x14ac:dyDescent="0.25">
      <c r="A15" s="845" t="s">
        <v>210</v>
      </c>
      <c r="B15" s="846"/>
      <c r="C15" s="846"/>
      <c r="D15" s="846"/>
      <c r="E15" s="846"/>
      <c r="F15" s="846"/>
      <c r="G15" s="846"/>
      <c r="H15" s="846"/>
      <c r="I15" s="847"/>
    </row>
    <row r="16" spans="1:18" s="1" customFormat="1" x14ac:dyDescent="0.25">
      <c r="A16" s="845"/>
      <c r="B16" s="846"/>
      <c r="C16" s="846"/>
      <c r="D16" s="846"/>
      <c r="E16" s="846"/>
      <c r="F16" s="846"/>
      <c r="G16" s="846"/>
      <c r="H16" s="846"/>
      <c r="I16" s="847"/>
    </row>
    <row r="17" spans="1:9" s="1" customFormat="1" x14ac:dyDescent="0.25">
      <c r="A17" s="845"/>
      <c r="B17" s="846"/>
      <c r="C17" s="846"/>
      <c r="D17" s="846"/>
      <c r="E17" s="846"/>
      <c r="F17" s="846"/>
      <c r="G17" s="846"/>
      <c r="H17" s="846"/>
      <c r="I17" s="847"/>
    </row>
    <row r="18" spans="1:9" s="1" customFormat="1" ht="15" customHeight="1" x14ac:dyDescent="0.25">
      <c r="A18" s="845" t="s">
        <v>211</v>
      </c>
      <c r="B18" s="846"/>
      <c r="C18" s="846"/>
      <c r="D18" s="846"/>
      <c r="E18" s="846"/>
      <c r="F18" s="846"/>
      <c r="G18" s="846"/>
      <c r="H18" s="846"/>
      <c r="I18" s="847"/>
    </row>
    <row r="19" spans="1:9" s="1" customFormat="1" x14ac:dyDescent="0.25">
      <c r="A19" s="845"/>
      <c r="B19" s="846"/>
      <c r="C19" s="846"/>
      <c r="D19" s="846"/>
      <c r="E19" s="846"/>
      <c r="F19" s="846"/>
      <c r="G19" s="846"/>
      <c r="H19" s="846"/>
      <c r="I19" s="847"/>
    </row>
    <row r="20" spans="1:9" s="1" customFormat="1" x14ac:dyDescent="0.25">
      <c r="A20" s="845"/>
      <c r="B20" s="846"/>
      <c r="C20" s="846"/>
      <c r="D20" s="846"/>
      <c r="E20" s="846"/>
      <c r="F20" s="846"/>
      <c r="G20" s="846"/>
      <c r="H20" s="846"/>
      <c r="I20" s="847"/>
    </row>
    <row r="21" spans="1:9" x14ac:dyDescent="0.25">
      <c r="A21" s="845" t="s">
        <v>212</v>
      </c>
      <c r="B21" s="846"/>
      <c r="C21" s="846"/>
      <c r="D21" s="846"/>
      <c r="E21" s="846"/>
      <c r="F21" s="846"/>
      <c r="G21" s="846"/>
      <c r="H21" s="846"/>
      <c r="I21" s="847"/>
    </row>
    <row r="22" spans="1:9" s="1" customFormat="1" x14ac:dyDescent="0.25">
      <c r="A22" s="845"/>
      <c r="B22" s="846"/>
      <c r="C22" s="846"/>
      <c r="D22" s="846"/>
      <c r="E22" s="846"/>
      <c r="F22" s="846"/>
      <c r="G22" s="846"/>
      <c r="H22" s="846"/>
      <c r="I22" s="847"/>
    </row>
    <row r="23" spans="1:9" s="1" customFormat="1" x14ac:dyDescent="0.25">
      <c r="A23" s="845"/>
      <c r="B23" s="846"/>
      <c r="C23" s="846"/>
      <c r="D23" s="846"/>
      <c r="E23" s="846"/>
      <c r="F23" s="846"/>
      <c r="G23" s="846"/>
      <c r="H23" s="846"/>
      <c r="I23" s="847"/>
    </row>
    <row r="24" spans="1:9" ht="15" customHeight="1" x14ac:dyDescent="0.25">
      <c r="A24" s="845" t="s">
        <v>213</v>
      </c>
      <c r="B24" s="846"/>
      <c r="C24" s="846"/>
      <c r="D24" s="846"/>
      <c r="E24" s="846"/>
      <c r="F24" s="846"/>
      <c r="G24" s="846"/>
      <c r="H24" s="846"/>
      <c r="I24" s="847"/>
    </row>
    <row r="25" spans="1:9" x14ac:dyDescent="0.25">
      <c r="A25" s="845"/>
      <c r="B25" s="846"/>
      <c r="C25" s="846"/>
      <c r="D25" s="846"/>
      <c r="E25" s="846"/>
      <c r="F25" s="846"/>
      <c r="G25" s="846"/>
      <c r="H25" s="846"/>
      <c r="I25" s="847"/>
    </row>
    <row r="26" spans="1:9" x14ac:dyDescent="0.25">
      <c r="A26" s="845"/>
      <c r="B26" s="846"/>
      <c r="C26" s="846"/>
      <c r="D26" s="846"/>
      <c r="E26" s="846"/>
      <c r="F26" s="846"/>
      <c r="G26" s="846"/>
      <c r="H26" s="846"/>
      <c r="I26" s="847"/>
    </row>
    <row r="27" spans="1:9" x14ac:dyDescent="0.25">
      <c r="A27" s="845"/>
      <c r="B27" s="846"/>
      <c r="C27" s="846"/>
      <c r="D27" s="846"/>
      <c r="E27" s="846"/>
      <c r="F27" s="846"/>
      <c r="G27" s="846"/>
      <c r="H27" s="846"/>
      <c r="I27" s="847"/>
    </row>
    <row r="28" spans="1:9" x14ac:dyDescent="0.25">
      <c r="A28" s="845"/>
      <c r="B28" s="846"/>
      <c r="C28" s="846"/>
      <c r="D28" s="846"/>
      <c r="E28" s="846"/>
      <c r="F28" s="846"/>
      <c r="G28" s="846"/>
      <c r="H28" s="846"/>
      <c r="I28" s="847"/>
    </row>
    <row r="29" spans="1:9" s="1" customFormat="1" ht="15" customHeight="1" x14ac:dyDescent="0.25">
      <c r="A29" s="845" t="s">
        <v>214</v>
      </c>
      <c r="B29" s="846"/>
      <c r="C29" s="846"/>
      <c r="D29" s="846"/>
      <c r="E29" s="846"/>
      <c r="F29" s="846"/>
      <c r="G29" s="846"/>
      <c r="H29" s="846"/>
      <c r="I29" s="847"/>
    </row>
    <row r="30" spans="1:9" x14ac:dyDescent="0.25">
      <c r="A30" s="845"/>
      <c r="B30" s="846"/>
      <c r="C30" s="846"/>
      <c r="D30" s="846"/>
      <c r="E30" s="846"/>
      <c r="F30" s="846"/>
      <c r="G30" s="846"/>
      <c r="H30" s="846"/>
      <c r="I30" s="847"/>
    </row>
    <row r="31" spans="1:9" x14ac:dyDescent="0.25">
      <c r="A31" s="845"/>
      <c r="B31" s="846"/>
      <c r="C31" s="846"/>
      <c r="D31" s="846"/>
      <c r="E31" s="846"/>
      <c r="F31" s="846"/>
      <c r="G31" s="846"/>
      <c r="H31" s="846"/>
      <c r="I31" s="847"/>
    </row>
    <row r="32" spans="1:9" s="1" customFormat="1" x14ac:dyDescent="0.25">
      <c r="A32" s="845"/>
      <c r="B32" s="846"/>
      <c r="C32" s="846"/>
      <c r="D32" s="846"/>
      <c r="E32" s="846"/>
      <c r="F32" s="846"/>
      <c r="G32" s="846"/>
      <c r="H32" s="846"/>
      <c r="I32" s="847"/>
    </row>
    <row r="33" spans="1:9" s="1" customFormat="1" x14ac:dyDescent="0.25">
      <c r="A33" s="845"/>
      <c r="B33" s="846"/>
      <c r="C33" s="846"/>
      <c r="D33" s="846"/>
      <c r="E33" s="846"/>
      <c r="F33" s="846"/>
      <c r="G33" s="846"/>
      <c r="H33" s="846"/>
      <c r="I33" s="847"/>
    </row>
    <row r="34" spans="1:9" ht="15" customHeight="1" x14ac:dyDescent="0.25">
      <c r="A34" s="845" t="s">
        <v>215</v>
      </c>
      <c r="B34" s="846"/>
      <c r="C34" s="846"/>
      <c r="D34" s="846"/>
      <c r="E34" s="846"/>
      <c r="F34" s="846"/>
      <c r="G34" s="846"/>
      <c r="H34" s="846"/>
      <c r="I34" s="847"/>
    </row>
    <row r="35" spans="1:9" x14ac:dyDescent="0.25">
      <c r="A35" s="845"/>
      <c r="B35" s="846"/>
      <c r="C35" s="846"/>
      <c r="D35" s="846"/>
      <c r="E35" s="846"/>
      <c r="F35" s="846"/>
      <c r="G35" s="846"/>
      <c r="H35" s="846"/>
      <c r="I35" s="847"/>
    </row>
    <row r="36" spans="1:9" x14ac:dyDescent="0.25">
      <c r="A36" s="845"/>
      <c r="B36" s="846"/>
      <c r="C36" s="846"/>
      <c r="D36" s="846"/>
      <c r="E36" s="846"/>
      <c r="F36" s="846"/>
      <c r="G36" s="846"/>
      <c r="H36" s="846"/>
      <c r="I36" s="847"/>
    </row>
    <row r="37" spans="1:9" x14ac:dyDescent="0.25">
      <c r="A37" s="845"/>
      <c r="B37" s="846"/>
      <c r="C37" s="846"/>
      <c r="D37" s="846"/>
      <c r="E37" s="846"/>
      <c r="F37" s="846"/>
      <c r="G37" s="846"/>
      <c r="H37" s="846"/>
      <c r="I37" s="847"/>
    </row>
    <row r="38" spans="1:9" x14ac:dyDescent="0.25">
      <c r="A38" s="845"/>
      <c r="B38" s="846"/>
      <c r="C38" s="846"/>
      <c r="D38" s="846"/>
      <c r="E38" s="846"/>
      <c r="F38" s="846"/>
      <c r="G38" s="846"/>
      <c r="H38" s="846"/>
      <c r="I38" s="847"/>
    </row>
    <row r="39" spans="1:9" ht="15.75" thickBot="1" x14ac:dyDescent="0.3">
      <c r="A39" s="848"/>
      <c r="B39" s="849"/>
      <c r="C39" s="849"/>
      <c r="D39" s="849"/>
      <c r="E39" s="849"/>
      <c r="F39" s="849"/>
      <c r="G39" s="849"/>
      <c r="H39" s="849"/>
      <c r="I39" s="850"/>
    </row>
  </sheetData>
  <sheetProtection algorithmName="SHA-512" hashValue="KdNs9zbdYLOqoRAWOgQPdwgb02mn/mcHdOeFJR/9mxDYcvtYEYkqF+Z8CcM2Q4JT+9+9HL53j/4oRkeVCbAfrA==" saltValue="Ae9qeB6I02jwxV/BpTuZgA==" spinCount="100000" sheet="1" objects="1" scenarios="1"/>
  <mergeCells count="9">
    <mergeCell ref="A34:I39"/>
    <mergeCell ref="A29:I33"/>
    <mergeCell ref="A1:I1"/>
    <mergeCell ref="A18:I20"/>
    <mergeCell ref="A21:I23"/>
    <mergeCell ref="A24:I28"/>
    <mergeCell ref="A15:I17"/>
    <mergeCell ref="A10:I14"/>
    <mergeCell ref="A2:I9"/>
  </mergeCell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BE49-96EC-4AE8-AD6A-8883957591E6}">
  <sheetPr>
    <tabColor theme="0" tint="-0.14999847407452621"/>
  </sheetPr>
  <dimension ref="A1:AW385"/>
  <sheetViews>
    <sheetView zoomScaleNormal="100" workbookViewId="0">
      <selection activeCell="A2" sqref="A2"/>
    </sheetView>
  </sheetViews>
  <sheetFormatPr defaultColWidth="9.140625" defaultRowHeight="15" x14ac:dyDescent="0.25"/>
  <cols>
    <col min="1" max="1" width="13.5703125" style="1" customWidth="1"/>
    <col min="2" max="26" width="9.140625" style="1"/>
    <col min="27" max="27" width="19.5703125" style="1" bestFit="1" customWidth="1"/>
    <col min="28" max="28" width="2" style="1" bestFit="1" customWidth="1"/>
    <col min="29" max="29" width="6" style="1" customWidth="1"/>
    <col min="30" max="37" width="9.140625" style="1"/>
    <col min="38" max="38" width="18.42578125" style="1" bestFit="1" customWidth="1"/>
    <col min="39" max="41" width="9.140625" style="1"/>
    <col min="42" max="42" width="10.5703125" style="1" bestFit="1" customWidth="1"/>
    <col min="43" max="16384" width="9.140625" style="1"/>
  </cols>
  <sheetData>
    <row r="1" spans="1:49" ht="15.75" thickBot="1" x14ac:dyDescent="0.3">
      <c r="A1" s="167" t="s">
        <v>240</v>
      </c>
      <c r="B1" s="167" t="s">
        <v>262</v>
      </c>
      <c r="C1" s="168" t="s">
        <v>263</v>
      </c>
      <c r="D1" s="169" t="s">
        <v>264</v>
      </c>
      <c r="E1" s="169" t="s">
        <v>265</v>
      </c>
      <c r="F1" s="168"/>
      <c r="G1" s="168"/>
      <c r="H1" s="168"/>
      <c r="I1" s="168"/>
      <c r="J1" s="168"/>
      <c r="K1" s="168"/>
      <c r="L1" s="168"/>
      <c r="M1" s="168"/>
      <c r="N1" s="164" t="s">
        <v>295</v>
      </c>
      <c r="O1" s="164" t="s">
        <v>191</v>
      </c>
      <c r="P1" s="164" t="s">
        <v>296</v>
      </c>
      <c r="Q1" s="164" t="s">
        <v>297</v>
      </c>
      <c r="R1" s="164" t="s">
        <v>298</v>
      </c>
      <c r="S1" s="164" t="s">
        <v>299</v>
      </c>
      <c r="T1" s="164" t="s">
        <v>300</v>
      </c>
      <c r="U1" s="164" t="s">
        <v>92</v>
      </c>
      <c r="V1" s="164" t="s">
        <v>93</v>
      </c>
      <c r="W1" s="164" t="s">
        <v>196</v>
      </c>
      <c r="X1" s="164" t="s">
        <v>301</v>
      </c>
      <c r="Y1" s="164" t="s">
        <v>302</v>
      </c>
      <c r="Z1" s="168"/>
      <c r="AA1" s="162" t="s">
        <v>258</v>
      </c>
      <c r="AB1" s="619" t="s">
        <v>376</v>
      </c>
      <c r="AC1" s="619"/>
      <c r="AD1" s="619"/>
      <c r="AE1" s="619"/>
      <c r="AF1" s="619" t="s">
        <v>244</v>
      </c>
      <c r="AG1" s="619"/>
      <c r="AH1" s="163" t="s">
        <v>377</v>
      </c>
      <c r="AI1" s="619" t="s">
        <v>379</v>
      </c>
      <c r="AJ1" s="614"/>
      <c r="AK1" s="168"/>
      <c r="AL1" s="860" t="s">
        <v>244</v>
      </c>
      <c r="AM1" s="861"/>
      <c r="AN1" s="168"/>
      <c r="AO1" s="862" t="s">
        <v>249</v>
      </c>
      <c r="AP1" s="863"/>
      <c r="AQ1" s="863"/>
      <c r="AR1" s="863"/>
      <c r="AS1" s="864"/>
      <c r="AT1" s="168"/>
      <c r="AU1" s="168"/>
      <c r="AV1" s="168"/>
      <c r="AW1" s="168"/>
    </row>
    <row r="2" spans="1:49" ht="15.75" thickBot="1" x14ac:dyDescent="0.3">
      <c r="A2" s="168"/>
      <c r="B2" s="168"/>
      <c r="C2" s="168"/>
      <c r="D2" s="168"/>
      <c r="E2" s="168"/>
      <c r="F2" s="168"/>
      <c r="G2" s="168"/>
      <c r="H2" s="168"/>
      <c r="I2" s="168"/>
      <c r="J2" s="168"/>
      <c r="K2" s="168"/>
      <c r="L2" s="168"/>
      <c r="M2" s="168"/>
      <c r="N2" s="170" t="s">
        <v>240</v>
      </c>
      <c r="O2" s="170" t="s">
        <v>303</v>
      </c>
      <c r="P2" s="170"/>
      <c r="Q2" s="170"/>
      <c r="R2" s="170"/>
      <c r="S2" s="170"/>
      <c r="T2" s="170"/>
      <c r="U2" s="170"/>
      <c r="V2" s="170"/>
      <c r="W2" s="170"/>
      <c r="X2" s="171"/>
      <c r="Y2" s="170"/>
      <c r="Z2" s="168"/>
      <c r="AA2" s="172" t="s">
        <v>20</v>
      </c>
      <c r="AB2" s="859" t="s">
        <v>232</v>
      </c>
      <c r="AC2" s="859"/>
      <c r="AD2" s="173" t="s">
        <v>233</v>
      </c>
      <c r="AE2" s="173" t="s">
        <v>257</v>
      </c>
      <c r="AF2" s="173" t="s">
        <v>374</v>
      </c>
      <c r="AG2" s="173" t="s">
        <v>375</v>
      </c>
      <c r="AH2" s="173" t="s">
        <v>378</v>
      </c>
      <c r="AI2" s="173" t="s">
        <v>232</v>
      </c>
      <c r="AJ2" s="174" t="s">
        <v>233</v>
      </c>
      <c r="AK2" s="168"/>
      <c r="AL2" s="175" t="s">
        <v>247</v>
      </c>
      <c r="AM2" s="250" t="str">
        <f>VLOOKUP(total_ps, sn_ps_punch, 2, TRUE)&amp;"+"&amp;total_damage</f>
        <v>1D4+0</v>
      </c>
      <c r="AN2" s="168"/>
      <c r="AO2" s="176" t="s">
        <v>29</v>
      </c>
      <c r="AP2" s="177" t="s">
        <v>245</v>
      </c>
      <c r="AQ2" s="177" t="s">
        <v>250</v>
      </c>
      <c r="AR2" s="177" t="s">
        <v>233</v>
      </c>
      <c r="AS2" s="178" t="s">
        <v>257</v>
      </c>
      <c r="AT2" s="168"/>
      <c r="AU2" s="168"/>
      <c r="AV2" s="168"/>
      <c r="AW2" s="168"/>
    </row>
    <row r="3" spans="1:49" x14ac:dyDescent="0.25">
      <c r="A3" s="164" t="s">
        <v>304</v>
      </c>
      <c r="B3" s="164" t="s">
        <v>120</v>
      </c>
      <c r="C3" s="164" t="s">
        <v>91</v>
      </c>
      <c r="D3" s="164" t="s">
        <v>92</v>
      </c>
      <c r="E3" s="164" t="s">
        <v>93</v>
      </c>
      <c r="F3" s="164" t="s">
        <v>94</v>
      </c>
      <c r="G3" s="164" t="s">
        <v>305</v>
      </c>
      <c r="H3" s="164" t="s">
        <v>306</v>
      </c>
      <c r="I3" s="164" t="s">
        <v>103</v>
      </c>
      <c r="J3" s="164" t="s">
        <v>307</v>
      </c>
      <c r="K3" s="164" t="s">
        <v>308</v>
      </c>
      <c r="L3" s="164" t="s">
        <v>100</v>
      </c>
      <c r="M3" s="168"/>
      <c r="N3" s="179" t="s">
        <v>309</v>
      </c>
      <c r="O3" s="180" t="str">
        <f>wp_axe</f>
        <v>Battle Axe</v>
      </c>
      <c r="P3" s="180">
        <v>3</v>
      </c>
      <c r="Q3" s="180"/>
      <c r="R3" s="180">
        <f>_xlfn.IFNA(VLOOKUP(wp_axe&amp;" "&amp;calc_lev,battle_axe,6,FALSE), "")</f>
        <v>0</v>
      </c>
      <c r="S3" s="180">
        <f>IF(calc_lev&gt;1, IF(ps_type=ps_giant, P3+1, P3)+1, IF(ps_type=ps_giant, P3+1, P3))</f>
        <v>3</v>
      </c>
      <c r="T3" s="180">
        <f t="shared" ref="T3:T25" si="0">total_damage+Q3+R3</f>
        <v>0</v>
      </c>
      <c r="U3" s="180">
        <f>_xlfn.IFNA(VLOOKUP(wp_axe&amp;" "&amp;calc_lev,battle_axe,2,FALSE), "")</f>
        <v>1</v>
      </c>
      <c r="V3" s="180">
        <f>_xlfn.IFNA(VLOOKUP(wp_axe&amp;" "&amp;calc_lev,battle_axe,3,FALSE), "")</f>
        <v>0</v>
      </c>
      <c r="W3" s="180"/>
      <c r="X3" s="171"/>
      <c r="Y3" s="180"/>
      <c r="Z3" s="168"/>
      <c r="AA3" s="181" t="s">
        <v>226</v>
      </c>
      <c r="AB3" s="182">
        <v>1</v>
      </c>
      <c r="AC3" s="183" t="str">
        <f>"D4+"&amp;total_damage</f>
        <v>D4+0</v>
      </c>
      <c r="AD3" s="184" t="str">
        <f>AB3*2&amp;"D4+"&amp;total_damage</f>
        <v>2D4+0</v>
      </c>
      <c r="AE3" s="185">
        <v>4</v>
      </c>
      <c r="AF3" s="184" t="str">
        <f t="shared" ref="AF3:AF17" si="1">IF(VLOOKUP(total_ps, sn_ps_punch, 5, TRUE)&gt;AE3, $AM$3, AB3&amp;AC3)</f>
        <v>1D6+0</v>
      </c>
      <c r="AG3" s="185" t="str">
        <f t="shared" ref="AG3:AG15" si="2">IF(VLOOKUP(total_ps, sn_ps_punch, 5, TRUE)&gt;AE3, $AM$4, AD3)</f>
        <v>2D6+0</v>
      </c>
      <c r="AH3" s="242" t="b">
        <v>1</v>
      </c>
      <c r="AI3" s="242" t="str">
        <f>IF(ps_type="Supernatural", AF3, AB3&amp;AC3)</f>
        <v>1D4+0</v>
      </c>
      <c r="AJ3" s="243" t="str">
        <f t="shared" ref="AJ3:AJ15" si="3">IF(ps_type="Supernatural", AG3, AD3)</f>
        <v>2D4+0</v>
      </c>
      <c r="AK3" s="168"/>
      <c r="AL3" s="186" t="s">
        <v>248</v>
      </c>
      <c r="AM3" s="251" t="str">
        <f>VLOOKUP(total_ps, sn_ps_punch, 3, TRUE)&amp;"+"&amp;total_damage</f>
        <v>1D6+0</v>
      </c>
      <c r="AN3" s="168"/>
      <c r="AO3" s="187">
        <v>0</v>
      </c>
      <c r="AP3" s="188" t="s">
        <v>235</v>
      </c>
      <c r="AQ3" s="188" t="s">
        <v>234</v>
      </c>
      <c r="AR3" s="188" t="s">
        <v>237</v>
      </c>
      <c r="AS3" s="189">
        <v>6</v>
      </c>
      <c r="AT3" s="168"/>
      <c r="AU3" s="168"/>
      <c r="AV3" s="168"/>
      <c r="AW3" s="168"/>
    </row>
    <row r="4" spans="1:49" ht="15.75" thickBot="1" x14ac:dyDescent="0.3">
      <c r="A4" s="190" t="str">
        <f>hth_none&amp;" "&amp;1</f>
        <v>None 1</v>
      </c>
      <c r="B4" s="179">
        <v>1</v>
      </c>
      <c r="C4" s="180"/>
      <c r="D4" s="170"/>
      <c r="E4" s="170"/>
      <c r="F4" s="180"/>
      <c r="G4" s="180"/>
      <c r="H4" s="180"/>
      <c r="I4" s="180"/>
      <c r="J4" s="180">
        <v>20</v>
      </c>
      <c r="K4" s="180"/>
      <c r="L4" s="180"/>
      <c r="M4" s="168"/>
      <c r="N4" s="180" t="s">
        <v>310</v>
      </c>
      <c r="O4" s="180" t="str">
        <f>wp_staff</f>
        <v>Staff</v>
      </c>
      <c r="P4" s="180">
        <v>2</v>
      </c>
      <c r="Q4" s="180"/>
      <c r="R4" s="180">
        <f>_xlfn.IFNA(VLOOKUP(wp_staff&amp;" "&amp;calc_lev,staff,6,FALSE), "")</f>
        <v>0</v>
      </c>
      <c r="S4" s="180">
        <f t="shared" ref="S4:S25" si="4">IF(ps_type=ps_giant, P4+1, P4)</f>
        <v>2</v>
      </c>
      <c r="T4" s="180">
        <f t="shared" si="0"/>
        <v>0</v>
      </c>
      <c r="U4" s="180">
        <f>_xlfn.IFNA(VLOOKUP(wp_staff&amp;" "&amp;calc_lev,staff,2,FALSE), "")</f>
        <v>1</v>
      </c>
      <c r="V4" s="180">
        <f>_xlfn.IFNA(VLOOKUP(wp_staff&amp;" "&amp;calc_lev,staff,3,FALSE), "")</f>
        <v>1</v>
      </c>
      <c r="W4" s="180"/>
      <c r="X4" s="171"/>
      <c r="Y4" s="180"/>
      <c r="Z4" s="168"/>
      <c r="AA4" s="191" t="s">
        <v>218</v>
      </c>
      <c r="AB4" s="182">
        <v>1</v>
      </c>
      <c r="AC4" s="183" t="str">
        <f>"D6+"&amp;total_damage</f>
        <v>D6+0</v>
      </c>
      <c r="AD4" s="192" t="str">
        <f>AB4*2&amp;"D6+"&amp;total_damage</f>
        <v>2D6+0</v>
      </c>
      <c r="AE4" s="193">
        <v>6</v>
      </c>
      <c r="AF4" s="192" t="str">
        <f t="shared" si="1"/>
        <v>1D6+0</v>
      </c>
      <c r="AG4" s="193" t="str">
        <f t="shared" si="2"/>
        <v>2D6+0</v>
      </c>
      <c r="AH4" s="270" t="b">
        <v>0</v>
      </c>
      <c r="AI4" s="242" t="str">
        <f t="shared" ref="AI4:AI20" si="5">IF(ps_type="Supernatural", AF4, AB4&amp;AC4)</f>
        <v>1D6+0</v>
      </c>
      <c r="AJ4" s="243" t="str">
        <f t="shared" si="3"/>
        <v>2D6+0</v>
      </c>
      <c r="AK4" s="168"/>
      <c r="AL4" s="194" t="s">
        <v>246</v>
      </c>
      <c r="AM4" s="252" t="str">
        <f>VLOOKUP(total_ps, sn_ps_punch, 4, TRUE)&amp;"+"&amp;total_damage</f>
        <v>2D6+0</v>
      </c>
      <c r="AN4" s="168"/>
      <c r="AO4" s="187">
        <v>16</v>
      </c>
      <c r="AP4" s="188" t="s">
        <v>234</v>
      </c>
      <c r="AQ4" s="188" t="s">
        <v>237</v>
      </c>
      <c r="AR4" s="188" t="s">
        <v>243</v>
      </c>
      <c r="AS4" s="189">
        <v>12</v>
      </c>
      <c r="AT4" s="168"/>
      <c r="AU4" s="168"/>
      <c r="AV4" s="168"/>
      <c r="AW4" s="168"/>
    </row>
    <row r="5" spans="1:49" x14ac:dyDescent="0.25">
      <c r="A5" s="190" t="str">
        <f>hth_none&amp;" "&amp;2</f>
        <v>None 2</v>
      </c>
      <c r="B5" s="180">
        <v>1</v>
      </c>
      <c r="C5" s="180"/>
      <c r="D5" s="180"/>
      <c r="E5" s="180"/>
      <c r="F5" s="180"/>
      <c r="G5" s="180"/>
      <c r="H5" s="180"/>
      <c r="I5" s="180"/>
      <c r="J5" s="180">
        <v>20</v>
      </c>
      <c r="K5" s="180"/>
      <c r="L5" s="180"/>
      <c r="M5" s="168"/>
      <c r="N5" s="180" t="s">
        <v>311</v>
      </c>
      <c r="O5" s="180" t="str">
        <f>wp_whip</f>
        <v>Whip</v>
      </c>
      <c r="P5" s="180">
        <v>2</v>
      </c>
      <c r="Q5" s="180"/>
      <c r="R5" s="180">
        <f>_xlfn.IFNA(VLOOKUP(wp_whip&amp;" "&amp;calc_lev,whip,6,FALSE), "")</f>
        <v>0</v>
      </c>
      <c r="S5" s="180">
        <f t="shared" si="4"/>
        <v>2</v>
      </c>
      <c r="T5" s="180">
        <f t="shared" si="0"/>
        <v>0</v>
      </c>
      <c r="U5" s="180">
        <f>_xlfn.IFNA(VLOOKUP(wp_whip&amp;" "&amp;calc_lev,whip,2,FALSE), "")</f>
        <v>0</v>
      </c>
      <c r="V5" s="180" t="e">
        <f>VLOOKUP(wp_whip&amp;" "&amp;calc_lev,whip,3,FALSE)</f>
        <v>#N/A</v>
      </c>
      <c r="W5" s="180"/>
      <c r="X5" s="171" t="s">
        <v>266</v>
      </c>
      <c r="Y5" s="180">
        <f>_xlfn.IFNA(VLOOKUP(wp_whip&amp;" "&amp;calc_lev, whip, 5, FALSE), "")</f>
        <v>0</v>
      </c>
      <c r="Z5" s="168"/>
      <c r="AA5" s="191" t="s">
        <v>267</v>
      </c>
      <c r="AB5" s="182">
        <v>1</v>
      </c>
      <c r="AC5" s="183" t="str">
        <f>"D6+"&amp;total_damage</f>
        <v>D6+0</v>
      </c>
      <c r="AD5" s="192" t="str">
        <f>AB5*2&amp;"D6+"&amp;total_damage</f>
        <v>2D6+0</v>
      </c>
      <c r="AE5" s="193">
        <v>6</v>
      </c>
      <c r="AF5" s="192" t="str">
        <f t="shared" si="1"/>
        <v>1D6+0</v>
      </c>
      <c r="AG5" s="193" t="str">
        <f t="shared" si="2"/>
        <v>2D6+0</v>
      </c>
      <c r="AH5" s="270" t="b">
        <v>0</v>
      </c>
      <c r="AI5" s="242" t="str">
        <f t="shared" si="5"/>
        <v>1D6+0</v>
      </c>
      <c r="AJ5" s="243" t="str">
        <f t="shared" si="3"/>
        <v>2D6+0</v>
      </c>
      <c r="AK5" s="168"/>
      <c r="AL5" s="168"/>
      <c r="AM5" s="168"/>
      <c r="AN5" s="168"/>
      <c r="AO5" s="187">
        <v>21</v>
      </c>
      <c r="AP5" s="188" t="s">
        <v>236</v>
      </c>
      <c r="AQ5" s="188" t="s">
        <v>238</v>
      </c>
      <c r="AR5" s="188" t="s">
        <v>241</v>
      </c>
      <c r="AS5" s="189">
        <v>18</v>
      </c>
      <c r="AT5" s="168"/>
      <c r="AU5" s="168"/>
      <c r="AV5" s="168"/>
      <c r="AW5" s="168"/>
    </row>
    <row r="6" spans="1:49" ht="15.75" thickBot="1" x14ac:dyDescent="0.3">
      <c r="A6" s="190" t="str">
        <f>hth_none&amp;" "&amp;3</f>
        <v>None 3</v>
      </c>
      <c r="B6" s="180">
        <v>1</v>
      </c>
      <c r="C6" s="180"/>
      <c r="D6" s="180"/>
      <c r="E6" s="180"/>
      <c r="F6" s="180"/>
      <c r="G6" s="180"/>
      <c r="H6" s="180"/>
      <c r="I6" s="180"/>
      <c r="J6" s="180">
        <v>20</v>
      </c>
      <c r="K6" s="180"/>
      <c r="L6" s="180"/>
      <c r="M6" s="168"/>
      <c r="N6" s="180" t="s">
        <v>312</v>
      </c>
      <c r="O6" s="180" t="str">
        <f>wp_sword</f>
        <v>Sword</v>
      </c>
      <c r="P6" s="180">
        <v>3</v>
      </c>
      <c r="Q6" s="180"/>
      <c r="R6" s="180">
        <f>_xlfn.IFNA(VLOOKUP(wp_sword&amp;" "&amp;calc_lev,sword,6,FALSE), "")</f>
        <v>0</v>
      </c>
      <c r="S6" s="180">
        <f t="shared" si="4"/>
        <v>3</v>
      </c>
      <c r="T6" s="180">
        <f t="shared" si="0"/>
        <v>0</v>
      </c>
      <c r="U6" s="180">
        <f>_xlfn.IFNA(VLOOKUP(wp_sword&amp;" "&amp;calc_lev,sword,2,FALSE), "")</f>
        <v>1</v>
      </c>
      <c r="V6" s="180">
        <f>_xlfn.IFNA(VLOOKUP(wp_sword&amp;" "&amp;calc_lev,sword,3,FALSE), "")</f>
        <v>0</v>
      </c>
      <c r="W6" s="180"/>
      <c r="X6" s="171"/>
      <c r="Y6" s="180"/>
      <c r="Z6" s="168"/>
      <c r="AA6" s="191" t="s">
        <v>219</v>
      </c>
      <c r="AB6" s="182">
        <v>2</v>
      </c>
      <c r="AC6" s="183" t="str">
        <f>"D4+"&amp;total_damage</f>
        <v>D4+0</v>
      </c>
      <c r="AD6" s="192" t="str">
        <f>AB6*2&amp;"D4+"&amp;total_damage</f>
        <v>4D4+0</v>
      </c>
      <c r="AE6" s="193">
        <v>8</v>
      </c>
      <c r="AF6" s="192" t="str">
        <f t="shared" si="1"/>
        <v>2D4+0</v>
      </c>
      <c r="AG6" s="193" t="str">
        <f t="shared" si="2"/>
        <v>4D4+0</v>
      </c>
      <c r="AH6" s="270" t="b">
        <v>0</v>
      </c>
      <c r="AI6" s="242" t="str">
        <f t="shared" si="5"/>
        <v>2D4+0</v>
      </c>
      <c r="AJ6" s="243" t="str">
        <f t="shared" si="3"/>
        <v>4D4+0</v>
      </c>
      <c r="AK6" s="168"/>
      <c r="AL6" s="168"/>
      <c r="AM6" s="168"/>
      <c r="AN6" s="168"/>
      <c r="AO6" s="187">
        <v>26</v>
      </c>
      <c r="AP6" s="188" t="s">
        <v>237</v>
      </c>
      <c r="AQ6" s="188" t="s">
        <v>243</v>
      </c>
      <c r="AR6" s="188" t="s">
        <v>251</v>
      </c>
      <c r="AS6" s="189">
        <v>24</v>
      </c>
      <c r="AT6" s="168"/>
      <c r="AU6" s="168"/>
      <c r="AV6" s="168"/>
      <c r="AW6" s="168"/>
    </row>
    <row r="7" spans="1:49" ht="15.75" thickBot="1" x14ac:dyDescent="0.3">
      <c r="A7" s="190" t="str">
        <f>hth_none&amp;" "&amp;4</f>
        <v>None 4</v>
      </c>
      <c r="B7" s="180">
        <v>1</v>
      </c>
      <c r="C7" s="180"/>
      <c r="D7" s="180"/>
      <c r="E7" s="180"/>
      <c r="F7" s="180"/>
      <c r="G7" s="180"/>
      <c r="H7" s="180"/>
      <c r="I7" s="180"/>
      <c r="J7" s="180">
        <v>20</v>
      </c>
      <c r="K7" s="180"/>
      <c r="L7" s="180"/>
      <c r="M7" s="168"/>
      <c r="N7" s="180" t="s">
        <v>313</v>
      </c>
      <c r="O7" s="180" t="str">
        <f>wp_knife</f>
        <v>Knife</v>
      </c>
      <c r="P7" s="180">
        <v>1</v>
      </c>
      <c r="Q7" s="180"/>
      <c r="R7" s="180">
        <f>_xlfn.IFNA(VLOOKUP(wp_knife&amp;" "&amp;calc_lev,knife,6,FALSE), "")</f>
        <v>0</v>
      </c>
      <c r="S7" s="180">
        <f t="shared" si="4"/>
        <v>1</v>
      </c>
      <c r="T7" s="180">
        <f t="shared" si="0"/>
        <v>0</v>
      </c>
      <c r="U7" s="180">
        <f>_xlfn.IFNA(VLOOKUP(wp_knife&amp;" "&amp;calc_lev,knife,2,FALSE), "")</f>
        <v>0</v>
      </c>
      <c r="V7" s="180">
        <f>_xlfn.IFNA(VLOOKUP(wp_knife&amp;" "&amp;calc_lev,knife,3,FALSE), "")</f>
        <v>1</v>
      </c>
      <c r="W7" s="180">
        <f>IF(ps_type=ps_supernatural, 200, IF(ps_type=ps_giant, 80, 40))</f>
        <v>40</v>
      </c>
      <c r="X7" s="171" t="s">
        <v>196</v>
      </c>
      <c r="Y7" s="180">
        <f>IF(ps_type=ps_giant,(VLOOKUP(wp_knife&amp;" "&amp;calc_lev,knife,7,FALSE)+W7)*1.2,_xlfn.IFNA(VLOOKUP(wp_knife&amp;" "&amp;calc_lev,knife,7,FALSE)+W7,""))</f>
        <v>40</v>
      </c>
      <c r="Z7" s="168"/>
      <c r="AA7" s="195" t="s">
        <v>220</v>
      </c>
      <c r="AB7" s="196">
        <v>1</v>
      </c>
      <c r="AC7" s="197" t="str">
        <f>"D6+"&amp;total_damage</f>
        <v>D6+0</v>
      </c>
      <c r="AD7" s="198" t="str">
        <f>AB7*2&amp;"D6+"&amp;total_damage</f>
        <v>2D6+0</v>
      </c>
      <c r="AE7" s="199">
        <v>6</v>
      </c>
      <c r="AF7" s="198" t="str">
        <f t="shared" si="1"/>
        <v>1D6+0</v>
      </c>
      <c r="AG7" s="199" t="str">
        <f t="shared" si="2"/>
        <v>2D6+0</v>
      </c>
      <c r="AH7" s="271" t="b">
        <v>0</v>
      </c>
      <c r="AI7" s="244" t="str">
        <f t="shared" si="5"/>
        <v>1D6+0</v>
      </c>
      <c r="AJ7" s="245" t="str">
        <f t="shared" si="3"/>
        <v>2D6+0</v>
      </c>
      <c r="AK7" s="168"/>
      <c r="AL7" s="860" t="s">
        <v>393</v>
      </c>
      <c r="AM7" s="861"/>
      <c r="AN7" s="168"/>
      <c r="AO7" s="187">
        <v>31</v>
      </c>
      <c r="AP7" s="188" t="s">
        <v>237</v>
      </c>
      <c r="AQ7" s="188" t="s">
        <v>252</v>
      </c>
      <c r="AR7" s="188" t="s">
        <v>253</v>
      </c>
      <c r="AS7" s="189">
        <v>30</v>
      </c>
      <c r="AT7" s="168"/>
      <c r="AU7" s="168"/>
      <c r="AV7" s="168"/>
      <c r="AW7" s="168"/>
    </row>
    <row r="8" spans="1:49" ht="15.75" thickBot="1" x14ac:dyDescent="0.3">
      <c r="A8" s="190" t="str">
        <f>hth_none&amp;" "&amp;5</f>
        <v>None 5</v>
      </c>
      <c r="B8" s="180">
        <v>1</v>
      </c>
      <c r="C8" s="180"/>
      <c r="D8" s="180"/>
      <c r="E8" s="180"/>
      <c r="F8" s="180"/>
      <c r="G8" s="180"/>
      <c r="H8" s="180"/>
      <c r="I8" s="180"/>
      <c r="J8" s="180">
        <v>20</v>
      </c>
      <c r="K8" s="180"/>
      <c r="L8" s="180"/>
      <c r="M8" s="168"/>
      <c r="N8" s="180" t="s">
        <v>314</v>
      </c>
      <c r="O8" s="180" t="str">
        <f>wp_chain</f>
        <v>Chain</v>
      </c>
      <c r="P8" s="180">
        <v>2</v>
      </c>
      <c r="Q8" s="180"/>
      <c r="R8" s="180">
        <f>_xlfn.IFNA(VLOOKUP(wp_chain&amp;" "&amp;calc_lev,chain,6,FALSE), "")</f>
        <v>0</v>
      </c>
      <c r="S8" s="180">
        <f t="shared" si="4"/>
        <v>2</v>
      </c>
      <c r="T8" s="180">
        <f t="shared" si="0"/>
        <v>0</v>
      </c>
      <c r="U8" s="180">
        <f>_xlfn.IFNA(VLOOKUP(wp_chain&amp;" "&amp;calc_lev,chain,2,FALSE), "")</f>
        <v>1</v>
      </c>
      <c r="V8" s="180">
        <f>_xlfn.IFNA(VLOOKUP(wp_chain&amp;" "&amp;calc_lev,chain,3,FALSE), "")</f>
        <v>0</v>
      </c>
      <c r="W8" s="180"/>
      <c r="X8" s="171"/>
      <c r="Y8" s="180"/>
      <c r="Z8" s="168"/>
      <c r="AA8" s="181" t="s">
        <v>225</v>
      </c>
      <c r="AB8" s="182">
        <v>2</v>
      </c>
      <c r="AC8" s="183" t="str">
        <f>"D4+"&amp;total_damage</f>
        <v>D4+0</v>
      </c>
      <c r="AD8" s="184" t="str">
        <f>AB8*2&amp;"D4+"&amp;total_damage</f>
        <v>4D4+0</v>
      </c>
      <c r="AE8" s="185">
        <v>8</v>
      </c>
      <c r="AF8" s="184" t="str">
        <f t="shared" si="1"/>
        <v>2D4+0</v>
      </c>
      <c r="AG8" s="185" t="str">
        <f t="shared" si="2"/>
        <v>4D4+0</v>
      </c>
      <c r="AH8" s="242" t="b">
        <v>0</v>
      </c>
      <c r="AI8" s="242" t="str">
        <f t="shared" si="5"/>
        <v>2D4+0</v>
      </c>
      <c r="AJ8" s="243" t="str">
        <f t="shared" si="3"/>
        <v>4D4+0</v>
      </c>
      <c r="AK8" s="168"/>
      <c r="AL8" s="201" t="s">
        <v>394</v>
      </c>
      <c r="AM8" s="249" t="str">
        <f>IF(ps_type="Supernatural", VLOOKUP(total_ps, sn_ps_punch, 3, TRUE), "1D4")</f>
        <v>1D4</v>
      </c>
      <c r="AN8" s="168"/>
      <c r="AO8" s="187">
        <v>36</v>
      </c>
      <c r="AP8" s="188" t="s">
        <v>237</v>
      </c>
      <c r="AQ8" s="188" t="s">
        <v>241</v>
      </c>
      <c r="AR8" s="188" t="s">
        <v>254</v>
      </c>
      <c r="AS8" s="189">
        <v>36</v>
      </c>
      <c r="AT8" s="168"/>
      <c r="AU8" s="168"/>
      <c r="AV8" s="168"/>
      <c r="AW8" s="168"/>
    </row>
    <row r="9" spans="1:49" x14ac:dyDescent="0.25">
      <c r="A9" s="190" t="str">
        <f>hth_none&amp;" "&amp;6</f>
        <v>None 6</v>
      </c>
      <c r="B9" s="180">
        <v>2</v>
      </c>
      <c r="C9" s="180"/>
      <c r="D9" s="180"/>
      <c r="E9" s="180"/>
      <c r="F9" s="180"/>
      <c r="G9" s="180"/>
      <c r="H9" s="180"/>
      <c r="I9" s="180"/>
      <c r="J9" s="180">
        <v>20</v>
      </c>
      <c r="K9" s="180"/>
      <c r="L9" s="180"/>
      <c r="M9" s="168"/>
      <c r="N9" s="180" t="s">
        <v>315</v>
      </c>
      <c r="O9" s="180" t="str">
        <f>wp_pole</f>
        <v>Pole Arm</v>
      </c>
      <c r="P9" s="180">
        <v>2</v>
      </c>
      <c r="Q9" s="180"/>
      <c r="R9" s="180">
        <f>_xlfn.IFNA(VLOOKUP(wp_pole&amp;" "&amp;calc_lev,pole_arm,6,FALSE), "")</f>
        <v>0</v>
      </c>
      <c r="S9" s="180">
        <f t="shared" si="4"/>
        <v>2</v>
      </c>
      <c r="T9" s="180">
        <f t="shared" si="0"/>
        <v>0</v>
      </c>
      <c r="U9" s="180">
        <f>_xlfn.IFNA(VLOOKUP(wp_pole&amp;" "&amp;calc_lev,pole_arm,2,FALSE), "")</f>
        <v>1</v>
      </c>
      <c r="V9" s="180">
        <f>_xlfn.IFNA(VLOOKUP(wp_pole&amp;" "&amp;calc_lev,pole_arm,3,FALSE), "")</f>
        <v>1</v>
      </c>
      <c r="W9" s="180"/>
      <c r="X9" s="171"/>
      <c r="Y9" s="180"/>
      <c r="Z9" s="168"/>
      <c r="AA9" s="191" t="s">
        <v>230</v>
      </c>
      <c r="AB9" s="182">
        <v>2</v>
      </c>
      <c r="AC9" s="183" t="str">
        <f>"D6+"&amp;total_damage</f>
        <v>D6+0</v>
      </c>
      <c r="AD9" s="192" t="str">
        <f>AB9*2&amp;"D6+"&amp;total_damage</f>
        <v>4D6+0</v>
      </c>
      <c r="AE9" s="193">
        <v>12</v>
      </c>
      <c r="AF9" s="192" t="str">
        <f t="shared" si="1"/>
        <v>2D6+0</v>
      </c>
      <c r="AG9" s="193" t="str">
        <f t="shared" si="2"/>
        <v>4D6+0</v>
      </c>
      <c r="AH9" s="270" t="b">
        <v>0</v>
      </c>
      <c r="AI9" s="242" t="str">
        <f t="shared" si="5"/>
        <v>2D6+0</v>
      </c>
      <c r="AJ9" s="243" t="str">
        <f t="shared" si="3"/>
        <v>4D6+0</v>
      </c>
      <c r="AK9" s="168"/>
      <c r="AL9" s="168"/>
      <c r="AM9" s="168"/>
      <c r="AN9" s="168"/>
      <c r="AO9" s="187">
        <v>41</v>
      </c>
      <c r="AP9" s="188" t="s">
        <v>237</v>
      </c>
      <c r="AQ9" s="188" t="s">
        <v>253</v>
      </c>
      <c r="AR9" s="188" t="s">
        <v>255</v>
      </c>
      <c r="AS9" s="189">
        <v>60</v>
      </c>
      <c r="AT9" s="168"/>
      <c r="AU9" s="168"/>
      <c r="AV9" s="168"/>
      <c r="AW9" s="168"/>
    </row>
    <row r="10" spans="1:49" ht="15.75" thickBot="1" x14ac:dyDescent="0.3">
      <c r="A10" s="190" t="str">
        <f>hth_none&amp;" "&amp;7</f>
        <v>None 7</v>
      </c>
      <c r="B10" s="180">
        <v>2</v>
      </c>
      <c r="C10" s="180"/>
      <c r="D10" s="180"/>
      <c r="E10" s="180"/>
      <c r="F10" s="180"/>
      <c r="G10" s="180"/>
      <c r="H10" s="180"/>
      <c r="I10" s="180"/>
      <c r="J10" s="180">
        <v>20</v>
      </c>
      <c r="K10" s="180"/>
      <c r="L10" s="180"/>
      <c r="M10" s="168"/>
      <c r="N10" s="180" t="s">
        <v>316</v>
      </c>
      <c r="O10" s="180" t="str">
        <f>wp_hook</f>
        <v>Grappling Hook</v>
      </c>
      <c r="P10" s="180">
        <v>1</v>
      </c>
      <c r="Q10" s="180"/>
      <c r="R10" s="180">
        <f>_xlfn.IFNA(VLOOKUP(wp_hook&amp;" "&amp;calc_lev,hook,6,FALSE), "")</f>
        <v>0</v>
      </c>
      <c r="S10" s="180">
        <f t="shared" si="4"/>
        <v>1</v>
      </c>
      <c r="T10" s="180">
        <f t="shared" si="0"/>
        <v>0</v>
      </c>
      <c r="U10" s="180">
        <f>_xlfn.IFNA(VLOOKUP(wp_hook&amp;" "&amp;calc_lev,hook,2,FALSE), "")</f>
        <v>0</v>
      </c>
      <c r="V10" s="180" t="e">
        <f>VLOOKUP(wp_hook&amp;" "&amp;calc_lev,hook,3,FALSE)</f>
        <v>#N/A</v>
      </c>
      <c r="W10" s="180"/>
      <c r="X10" s="171" t="s">
        <v>266</v>
      </c>
      <c r="Y10" s="180">
        <f>_xlfn.IFNA(VLOOKUP(wp_hook&amp;" "&amp;calc_lev, hook, 5, FALSE), "")</f>
        <v>0</v>
      </c>
      <c r="Z10" s="168"/>
      <c r="AA10" s="191" t="s">
        <v>231</v>
      </c>
      <c r="AB10" s="182">
        <v>2</v>
      </c>
      <c r="AC10" s="183" t="str">
        <f>"D4+"&amp;total_damage+2</f>
        <v>D4+2</v>
      </c>
      <c r="AD10" s="192" t="str">
        <f>AB10*2&amp;"D4+"&amp;total_damage+4</f>
        <v>4D4+4</v>
      </c>
      <c r="AE10" s="193">
        <v>10</v>
      </c>
      <c r="AF10" s="192" t="str">
        <f t="shared" si="1"/>
        <v>2D4+2</v>
      </c>
      <c r="AG10" s="193" t="str">
        <f t="shared" si="2"/>
        <v>4D4+4</v>
      </c>
      <c r="AH10" s="270" t="b">
        <v>0</v>
      </c>
      <c r="AI10" s="242" t="str">
        <f t="shared" si="5"/>
        <v>2D4+2</v>
      </c>
      <c r="AJ10" s="243" t="str">
        <f t="shared" si="3"/>
        <v>4D4+4</v>
      </c>
      <c r="AK10" s="168"/>
      <c r="AL10" s="168"/>
      <c r="AM10" s="168"/>
      <c r="AN10" s="168"/>
      <c r="AO10" s="202">
        <v>51</v>
      </c>
      <c r="AP10" s="203" t="s">
        <v>237</v>
      </c>
      <c r="AQ10" s="203" t="s">
        <v>254</v>
      </c>
      <c r="AR10" s="203" t="s">
        <v>256</v>
      </c>
      <c r="AS10" s="204">
        <v>80</v>
      </c>
      <c r="AT10" s="168"/>
      <c r="AU10" s="168"/>
      <c r="AV10" s="168"/>
      <c r="AW10" s="168"/>
    </row>
    <row r="11" spans="1:49" x14ac:dyDescent="0.25">
      <c r="A11" s="190" t="str">
        <f>hth_none&amp;" "&amp;8</f>
        <v>None 8</v>
      </c>
      <c r="B11" s="180">
        <v>2</v>
      </c>
      <c r="C11" s="180"/>
      <c r="D11" s="180"/>
      <c r="E11" s="180"/>
      <c r="F11" s="180"/>
      <c r="G11" s="180"/>
      <c r="H11" s="180"/>
      <c r="I11" s="180"/>
      <c r="J11" s="180">
        <v>20</v>
      </c>
      <c r="K11" s="180"/>
      <c r="L11" s="180"/>
      <c r="M11" s="168"/>
      <c r="N11" s="179" t="s">
        <v>317</v>
      </c>
      <c r="O11" s="180" t="str">
        <f>wp_archery</f>
        <v>Archery</v>
      </c>
      <c r="P11" s="180">
        <v>2</v>
      </c>
      <c r="Q11" s="180"/>
      <c r="R11" s="180">
        <f>_xlfn.IFNA(VLOOKUP(wp_archery&amp;" "&amp;calc_lev,archery,6,FALSE), "")</f>
        <v>0</v>
      </c>
      <c r="S11" s="180">
        <f t="shared" si="4"/>
        <v>2</v>
      </c>
      <c r="T11" s="180">
        <f t="shared" si="0"/>
        <v>0</v>
      </c>
      <c r="U11" s="180">
        <f>_xlfn.IFNA(VLOOKUP(wp_archery&amp;" "&amp;calc_lev,archery,2,FALSE), "")</f>
        <v>0</v>
      </c>
      <c r="V11" s="180">
        <f>_xlfn.IFNA(VLOOKUP(wp_archery&amp;" "&amp;calc_lev,archery,3,FALSE), "")</f>
        <v>1</v>
      </c>
      <c r="W11" s="180">
        <v>600</v>
      </c>
      <c r="X11" s="171" t="s">
        <v>196</v>
      </c>
      <c r="Y11" s="180">
        <f>IF(ps_type=ps_giant,(VLOOKUP(wp_archery&amp;" "&amp;calc_lev,archery,7,FALSE)+W11)*1.2,_xlfn.IFNA(VLOOKUP(wp_archery&amp;" "&amp;calc_lev,archery,7,FALSE)+W11,""))</f>
        <v>620</v>
      </c>
      <c r="Z11" s="168"/>
      <c r="AA11" s="191" t="s">
        <v>221</v>
      </c>
      <c r="AB11" s="182">
        <v>2</v>
      </c>
      <c r="AC11" s="183" t="str">
        <f t="shared" ref="AC11:AC17" si="6">"D6+"&amp;total_damage</f>
        <v>D6+0</v>
      </c>
      <c r="AD11" s="192" t="str">
        <f>AB11*2&amp;"D6+"&amp;total_damage</f>
        <v>4D6+0</v>
      </c>
      <c r="AE11" s="193">
        <v>12</v>
      </c>
      <c r="AF11" s="192" t="str">
        <f t="shared" si="1"/>
        <v>2D6+0</v>
      </c>
      <c r="AG11" s="193" t="str">
        <f t="shared" si="2"/>
        <v>4D6+0</v>
      </c>
      <c r="AH11" s="270" t="b">
        <v>0</v>
      </c>
      <c r="AI11" s="242" t="str">
        <f t="shared" si="5"/>
        <v>2D6+0</v>
      </c>
      <c r="AJ11" s="243" t="str">
        <f t="shared" si="3"/>
        <v>4D6+0</v>
      </c>
      <c r="AK11" s="168"/>
      <c r="AL11" s="168"/>
      <c r="AM11" s="168"/>
      <c r="AN11" s="168"/>
      <c r="AO11" s="168"/>
      <c r="AP11" s="168"/>
      <c r="AQ11" s="168"/>
      <c r="AR11" s="168"/>
      <c r="AS11" s="168"/>
      <c r="AT11" s="168"/>
      <c r="AU11" s="168"/>
      <c r="AV11" s="168"/>
      <c r="AW11" s="168"/>
    </row>
    <row r="12" spans="1:49" x14ac:dyDescent="0.25">
      <c r="A12" s="190" t="str">
        <f>hth_none&amp;" "&amp;9</f>
        <v>None 9</v>
      </c>
      <c r="B12" s="180">
        <v>2</v>
      </c>
      <c r="C12" s="180"/>
      <c r="D12" s="180"/>
      <c r="E12" s="180"/>
      <c r="F12" s="180"/>
      <c r="G12" s="180"/>
      <c r="H12" s="180"/>
      <c r="I12" s="180"/>
      <c r="J12" s="180">
        <v>20</v>
      </c>
      <c r="K12" s="180"/>
      <c r="L12" s="180"/>
      <c r="M12" s="168"/>
      <c r="N12" s="180" t="s">
        <v>318</v>
      </c>
      <c r="O12" s="180" t="str">
        <f>wp_blunt</f>
        <v>Blunt</v>
      </c>
      <c r="P12" s="180">
        <v>3</v>
      </c>
      <c r="Q12" s="180"/>
      <c r="R12" s="180">
        <f>_xlfn.IFNA(VLOOKUP(wp_blunt&amp;" "&amp;calc_lev,blunt,6,FALSE), "")</f>
        <v>0</v>
      </c>
      <c r="S12" s="180">
        <f t="shared" si="4"/>
        <v>3</v>
      </c>
      <c r="T12" s="180">
        <f t="shared" si="0"/>
        <v>0</v>
      </c>
      <c r="U12" s="180">
        <f>_xlfn.IFNA(VLOOKUP(wp_blunt&amp;" "&amp;calc_lev,blunt,2,FALSE), "")</f>
        <v>1</v>
      </c>
      <c r="V12" s="180">
        <f>_xlfn.IFNA(VLOOKUP(wp_blunt&amp;" "&amp;calc_lev,blunt,3,FALSE), "")</f>
        <v>1</v>
      </c>
      <c r="W12" s="180"/>
      <c r="X12" s="171"/>
      <c r="Y12" s="180"/>
      <c r="Z12" s="168"/>
      <c r="AA12" s="191" t="s">
        <v>223</v>
      </c>
      <c r="AB12" s="182">
        <v>3</v>
      </c>
      <c r="AC12" s="183" t="str">
        <f t="shared" si="6"/>
        <v>D6+0</v>
      </c>
      <c r="AD12" s="192" t="str">
        <f>AB12*2&amp;"D6+"&amp;total_damage</f>
        <v>6D6+0</v>
      </c>
      <c r="AE12" s="193">
        <v>18</v>
      </c>
      <c r="AF12" s="192" t="str">
        <f t="shared" si="1"/>
        <v>3D6+0</v>
      </c>
      <c r="AG12" s="193" t="str">
        <f t="shared" si="2"/>
        <v>6D6+0</v>
      </c>
      <c r="AH12" s="270" t="b">
        <v>0</v>
      </c>
      <c r="AI12" s="242" t="str">
        <f t="shared" si="5"/>
        <v>3D6+0</v>
      </c>
      <c r="AJ12" s="243" t="str">
        <f t="shared" si="3"/>
        <v>6D6+0</v>
      </c>
      <c r="AK12" s="168"/>
      <c r="AL12" s="168"/>
      <c r="AM12" s="168"/>
      <c r="AN12" s="168"/>
      <c r="AO12" s="168"/>
      <c r="AP12" s="168"/>
      <c r="AQ12" s="205"/>
      <c r="AR12" s="205"/>
      <c r="AS12" s="205"/>
      <c r="AT12" s="168"/>
      <c r="AU12" s="168"/>
      <c r="AV12" s="168"/>
      <c r="AW12" s="168"/>
    </row>
    <row r="13" spans="1:49" x14ac:dyDescent="0.25">
      <c r="A13" s="190" t="str">
        <f>hth_none&amp;" "&amp;10</f>
        <v>None 10</v>
      </c>
      <c r="B13" s="180">
        <v>2</v>
      </c>
      <c r="C13" s="180"/>
      <c r="D13" s="180"/>
      <c r="E13" s="180"/>
      <c r="F13" s="180"/>
      <c r="G13" s="180"/>
      <c r="H13" s="180"/>
      <c r="I13" s="180"/>
      <c r="J13" s="180">
        <v>20</v>
      </c>
      <c r="K13" s="180"/>
      <c r="L13" s="180"/>
      <c r="M13" s="168"/>
      <c r="N13" s="180" t="s">
        <v>319</v>
      </c>
      <c r="O13" s="180" t="str">
        <f>wp_spear</f>
        <v>Spear</v>
      </c>
      <c r="P13" s="180">
        <v>2</v>
      </c>
      <c r="Q13" s="180">
        <v>2</v>
      </c>
      <c r="R13" s="180">
        <f>_xlfn.IFNA(VLOOKUP(wp_spear&amp;" "&amp;calc_lev,spear,6,FALSE), "")</f>
        <v>0</v>
      </c>
      <c r="S13" s="180">
        <f t="shared" si="4"/>
        <v>2</v>
      </c>
      <c r="T13" s="180">
        <f t="shared" si="0"/>
        <v>2</v>
      </c>
      <c r="U13" s="180">
        <f>_xlfn.IFNA(VLOOKUP(wp_spear&amp;" "&amp;calc_lev,spear,2,FALSE), "")</f>
        <v>1</v>
      </c>
      <c r="V13" s="180">
        <f>_xlfn.IFNA(VLOOKUP(wp_spear&amp;" "&amp;calc_lev,spear,3,FALSE), "")</f>
        <v>1</v>
      </c>
      <c r="W13" s="180"/>
      <c r="X13" s="171"/>
      <c r="Y13" s="180"/>
      <c r="Z13" s="168"/>
      <c r="AA13" s="191" t="s">
        <v>224</v>
      </c>
      <c r="AB13" s="182">
        <v>1</v>
      </c>
      <c r="AC13" s="183" t="str">
        <f t="shared" si="6"/>
        <v>D6+0</v>
      </c>
      <c r="AD13" s="192" t="str">
        <f>AB13*2&amp;"D6+"&amp;total_damage</f>
        <v>2D6+0</v>
      </c>
      <c r="AE13" s="193">
        <v>6</v>
      </c>
      <c r="AF13" s="192" t="str">
        <f t="shared" si="1"/>
        <v>1D6+0</v>
      </c>
      <c r="AG13" s="193" t="str">
        <f t="shared" si="2"/>
        <v>2D6+0</v>
      </c>
      <c r="AH13" s="270" t="b">
        <v>0</v>
      </c>
      <c r="AI13" s="242" t="str">
        <f t="shared" si="5"/>
        <v>1D6+0</v>
      </c>
      <c r="AJ13" s="243" t="str">
        <f t="shared" si="3"/>
        <v>2D6+0</v>
      </c>
      <c r="AK13" s="168"/>
      <c r="AL13" s="168"/>
      <c r="AM13" s="168"/>
      <c r="AN13" s="168"/>
      <c r="AO13" s="168"/>
      <c r="AP13" s="168"/>
      <c r="AQ13" s="205"/>
      <c r="AR13" s="205"/>
      <c r="AS13" s="205"/>
      <c r="AT13" s="168"/>
      <c r="AU13" s="168"/>
      <c r="AV13" s="168"/>
      <c r="AW13" s="168"/>
    </row>
    <row r="14" spans="1:49" x14ac:dyDescent="0.25">
      <c r="A14" s="190" t="str">
        <f>hth_none&amp;" "&amp;11</f>
        <v>None 11</v>
      </c>
      <c r="B14" s="180">
        <v>2</v>
      </c>
      <c r="C14" s="180"/>
      <c r="D14" s="180"/>
      <c r="E14" s="180"/>
      <c r="F14" s="180"/>
      <c r="G14" s="180"/>
      <c r="H14" s="180"/>
      <c r="I14" s="180"/>
      <c r="J14" s="180">
        <v>20</v>
      </c>
      <c r="K14" s="180"/>
      <c r="L14" s="180"/>
      <c r="M14" s="168"/>
      <c r="N14" s="180" t="s">
        <v>320</v>
      </c>
      <c r="O14" s="180" t="str">
        <f>wp_spear</f>
        <v>Spear</v>
      </c>
      <c r="P14" s="180">
        <v>2</v>
      </c>
      <c r="Q14" s="180"/>
      <c r="R14" s="180">
        <f>_xlfn.IFNA(VLOOKUP(wp_spear&amp;" "&amp;calc_lev,spear,6,FALSE), "")</f>
        <v>0</v>
      </c>
      <c r="S14" s="180">
        <f t="shared" si="4"/>
        <v>2</v>
      </c>
      <c r="T14" s="180">
        <f t="shared" si="0"/>
        <v>0</v>
      </c>
      <c r="U14" s="180">
        <f>_xlfn.IFNA(VLOOKUP(wp_spear&amp;" "&amp;calc_lev,spear,2,FALSE), "")</f>
        <v>1</v>
      </c>
      <c r="V14" s="180">
        <f>_xlfn.IFNA(VLOOKUP(wp_spear&amp;" "&amp;calc_lev,spear,3,FALSE), "")</f>
        <v>1</v>
      </c>
      <c r="W14" s="180">
        <f>IF(ps_type=ps_supernatural, 200, IF(ps_type=ps_giant, 150, 100))</f>
        <v>100</v>
      </c>
      <c r="X14" s="171" t="s">
        <v>196</v>
      </c>
      <c r="Y14" s="180">
        <f>IF(ps_type=ps_giant,(VLOOKUP(wp_spear&amp;" "&amp;calc_lev,spear,7,FALSE)+W14)*1.2,_xlfn.IFNA(VLOOKUP(wp_spear&amp;" "&amp;calc_lev,spear,7,FALSE)+W14,""))</f>
        <v>100</v>
      </c>
      <c r="Z14" s="168"/>
      <c r="AA14" s="191" t="s">
        <v>227</v>
      </c>
      <c r="AB14" s="182">
        <v>2</v>
      </c>
      <c r="AC14" s="183" t="str">
        <f t="shared" si="6"/>
        <v>D6+0</v>
      </c>
      <c r="AD14" s="192" t="str">
        <f>AB14*2&amp;"D6+"&amp;total_damage</f>
        <v>4D6+0</v>
      </c>
      <c r="AE14" s="193">
        <v>12</v>
      </c>
      <c r="AF14" s="192" t="str">
        <f t="shared" si="1"/>
        <v>2D6+0</v>
      </c>
      <c r="AG14" s="193" t="str">
        <f t="shared" si="2"/>
        <v>4D6+0</v>
      </c>
      <c r="AH14" s="270" t="b">
        <v>0</v>
      </c>
      <c r="AI14" s="242" t="str">
        <f t="shared" si="5"/>
        <v>2D6+0</v>
      </c>
      <c r="AJ14" s="243" t="str">
        <f t="shared" si="3"/>
        <v>4D6+0</v>
      </c>
      <c r="AK14" s="168"/>
      <c r="AL14" s="168"/>
      <c r="AM14" s="168"/>
      <c r="AN14" s="168"/>
      <c r="AO14" s="168"/>
      <c r="AP14" s="168"/>
      <c r="AQ14" s="205"/>
      <c r="AR14" s="206"/>
      <c r="AS14" s="206"/>
      <c r="AT14" s="168"/>
      <c r="AU14" s="168"/>
      <c r="AV14" s="168"/>
      <c r="AW14" s="168"/>
    </row>
    <row r="15" spans="1:49" x14ac:dyDescent="0.25">
      <c r="A15" s="190" t="str">
        <f>hth_none&amp;" "&amp;12</f>
        <v>None 12</v>
      </c>
      <c r="B15" s="180">
        <v>3</v>
      </c>
      <c r="C15" s="180"/>
      <c r="D15" s="180"/>
      <c r="E15" s="180"/>
      <c r="F15" s="180"/>
      <c r="G15" s="180"/>
      <c r="H15" s="180"/>
      <c r="I15" s="180"/>
      <c r="J15" s="180">
        <v>20</v>
      </c>
      <c r="K15" s="180"/>
      <c r="L15" s="180"/>
      <c r="M15" s="168"/>
      <c r="N15" s="180" t="s">
        <v>321</v>
      </c>
      <c r="O15" s="180" t="str">
        <f>wp_sword</f>
        <v>Sword</v>
      </c>
      <c r="P15" s="180">
        <v>2</v>
      </c>
      <c r="Q15" s="180"/>
      <c r="R15" s="180">
        <f>_xlfn.IFNA(VLOOKUP(wp_sword&amp;" "&amp;calc_lev,sword,6,FALSE), "")</f>
        <v>0</v>
      </c>
      <c r="S15" s="180">
        <f t="shared" si="4"/>
        <v>2</v>
      </c>
      <c r="T15" s="180">
        <f t="shared" si="0"/>
        <v>0</v>
      </c>
      <c r="U15" s="180">
        <f>_xlfn.IFNA(VLOOKUP(wp_sword&amp;" "&amp;calc_lev,sword,2,FALSE), "")</f>
        <v>1</v>
      </c>
      <c r="V15" s="180">
        <f>_xlfn.IFNA(VLOOKUP(wp_sword&amp;" "&amp;calc_lev,sword,3,FALSE), "")</f>
        <v>0</v>
      </c>
      <c r="W15" s="180"/>
      <c r="X15" s="171"/>
      <c r="Y15" s="180"/>
      <c r="Z15" s="168"/>
      <c r="AA15" s="191" t="s">
        <v>228</v>
      </c>
      <c r="AB15" s="182">
        <v>1</v>
      </c>
      <c r="AC15" s="183" t="str">
        <f t="shared" si="6"/>
        <v>D6+0</v>
      </c>
      <c r="AD15" s="192" t="str">
        <f>AB15*2&amp;"D6+"&amp;total_damage</f>
        <v>2D6+0</v>
      </c>
      <c r="AE15" s="193">
        <v>6</v>
      </c>
      <c r="AF15" s="192" t="str">
        <f t="shared" si="1"/>
        <v>1D6+0</v>
      </c>
      <c r="AG15" s="193" t="str">
        <f t="shared" si="2"/>
        <v>2D6+0</v>
      </c>
      <c r="AH15" s="270" t="b">
        <v>0</v>
      </c>
      <c r="AI15" s="242" t="str">
        <f t="shared" si="5"/>
        <v>1D6+0</v>
      </c>
      <c r="AJ15" s="243" t="str">
        <f t="shared" si="3"/>
        <v>2D6+0</v>
      </c>
      <c r="AK15" s="168"/>
      <c r="AL15" s="168"/>
      <c r="AM15" s="168"/>
      <c r="AN15" s="168"/>
      <c r="AO15" s="168"/>
      <c r="AP15" s="168"/>
      <c r="AQ15" s="205"/>
      <c r="AR15" s="206"/>
      <c r="AS15" s="206"/>
      <c r="AT15" s="168"/>
      <c r="AU15" s="168"/>
      <c r="AV15" s="168"/>
      <c r="AW15" s="168"/>
    </row>
    <row r="16" spans="1:49" x14ac:dyDescent="0.25">
      <c r="A16" s="190" t="str">
        <f>hth_none&amp;" "&amp;13</f>
        <v>None 13</v>
      </c>
      <c r="B16" s="180">
        <v>3</v>
      </c>
      <c r="C16" s="180"/>
      <c r="D16" s="180"/>
      <c r="E16" s="180"/>
      <c r="F16" s="180"/>
      <c r="G16" s="180"/>
      <c r="H16" s="180"/>
      <c r="I16" s="180"/>
      <c r="J16" s="180">
        <v>20</v>
      </c>
      <c r="K16" s="180"/>
      <c r="L16" s="180"/>
      <c r="M16" s="168"/>
      <c r="N16" s="180" t="s">
        <v>322</v>
      </c>
      <c r="O16" s="180" t="str">
        <f>wp_blunt</f>
        <v>Blunt</v>
      </c>
      <c r="P16" s="180">
        <v>2</v>
      </c>
      <c r="Q16" s="180"/>
      <c r="R16" s="180">
        <f>_xlfn.IFNA(VLOOKUP(wp_blunt&amp;" "&amp;calc_lev,blunt,6,FALSE), "")</f>
        <v>0</v>
      </c>
      <c r="S16" s="180">
        <f t="shared" si="4"/>
        <v>2</v>
      </c>
      <c r="T16" s="180">
        <f t="shared" si="0"/>
        <v>0</v>
      </c>
      <c r="U16" s="180">
        <f>_xlfn.IFNA(VLOOKUP(wp_blunt&amp;" "&amp;calc_lev,blunt,2,FALSE), "")</f>
        <v>1</v>
      </c>
      <c r="V16" s="180">
        <f>_xlfn.IFNA(VLOOKUP(wp_blunt&amp;" "&amp;calc_lev,blunt,3,FALSE), "")</f>
        <v>1</v>
      </c>
      <c r="W16" s="180"/>
      <c r="X16" s="171"/>
      <c r="Y16" s="180"/>
      <c r="Z16" s="168"/>
      <c r="AA16" s="191" t="s">
        <v>222</v>
      </c>
      <c r="AB16" s="182">
        <v>6</v>
      </c>
      <c r="AC16" s="183" t="str">
        <f t="shared" si="6"/>
        <v>D6+0</v>
      </c>
      <c r="AD16" s="207"/>
      <c r="AE16" s="208">
        <v>36</v>
      </c>
      <c r="AF16" s="192" t="str">
        <f t="shared" si="1"/>
        <v>6D6+0</v>
      </c>
      <c r="AG16" s="209"/>
      <c r="AH16" s="270" t="b">
        <v>0</v>
      </c>
      <c r="AI16" s="242" t="str">
        <f t="shared" si="5"/>
        <v>6D6+0</v>
      </c>
      <c r="AJ16" s="246"/>
      <c r="AK16" s="168"/>
      <c r="AL16" s="168"/>
      <c r="AM16" s="168"/>
      <c r="AN16" s="168"/>
      <c r="AO16" s="168"/>
      <c r="AP16" s="168"/>
      <c r="AQ16" s="205"/>
      <c r="AR16" s="205"/>
      <c r="AS16" s="210"/>
      <c r="AT16" s="168"/>
      <c r="AU16" s="168"/>
      <c r="AV16" s="168"/>
      <c r="AW16" s="168"/>
    </row>
    <row r="17" spans="1:49" x14ac:dyDescent="0.25">
      <c r="A17" s="190" t="str">
        <f>hth_none&amp;" "&amp;14</f>
        <v>None 14</v>
      </c>
      <c r="B17" s="180">
        <v>3</v>
      </c>
      <c r="C17" s="180"/>
      <c r="D17" s="180"/>
      <c r="E17" s="180"/>
      <c r="F17" s="180"/>
      <c r="G17" s="180"/>
      <c r="H17" s="180"/>
      <c r="I17" s="180"/>
      <c r="J17" s="180">
        <v>20</v>
      </c>
      <c r="K17" s="180"/>
      <c r="L17" s="180"/>
      <c r="M17" s="168"/>
      <c r="N17" s="180" t="s">
        <v>323</v>
      </c>
      <c r="O17" s="180" t="str">
        <f>wp_chain</f>
        <v>Chain</v>
      </c>
      <c r="P17" s="180">
        <v>3</v>
      </c>
      <c r="Q17" s="180"/>
      <c r="R17" s="180">
        <f>_xlfn.IFNA(VLOOKUP(wp_chain&amp;" "&amp;calc_lev,chain,6,FALSE), "")</f>
        <v>0</v>
      </c>
      <c r="S17" s="180">
        <f t="shared" si="4"/>
        <v>3</v>
      </c>
      <c r="T17" s="180">
        <f t="shared" si="0"/>
        <v>0</v>
      </c>
      <c r="U17" s="180">
        <f>_xlfn.IFNA(VLOOKUP(wp_chain&amp;" "&amp;calc_lev,chain,2,FALSE), "")</f>
        <v>1</v>
      </c>
      <c r="V17" s="180">
        <f>_xlfn.IFNA(VLOOKUP(wp_chain&amp;" "&amp;calc_lev,chain,3,FALSE), "")</f>
        <v>0</v>
      </c>
      <c r="W17" s="180"/>
      <c r="X17" s="171"/>
      <c r="Y17" s="180"/>
      <c r="Z17" s="168"/>
      <c r="AA17" s="191" t="s">
        <v>242</v>
      </c>
      <c r="AB17" s="182">
        <v>4</v>
      </c>
      <c r="AC17" s="183" t="str">
        <f t="shared" si="6"/>
        <v>D6+0</v>
      </c>
      <c r="AD17" s="207"/>
      <c r="AE17" s="208">
        <v>24</v>
      </c>
      <c r="AF17" s="192" t="str">
        <f t="shared" si="1"/>
        <v>4D6+0</v>
      </c>
      <c r="AG17" s="209"/>
      <c r="AH17" s="270" t="b">
        <v>0</v>
      </c>
      <c r="AI17" s="242" t="str">
        <f t="shared" si="5"/>
        <v>4D6+0</v>
      </c>
      <c r="AJ17" s="246"/>
      <c r="AK17" s="168"/>
      <c r="AL17" s="168"/>
      <c r="AM17" s="168"/>
      <c r="AN17" s="168"/>
      <c r="AO17" s="168"/>
      <c r="AP17" s="168"/>
      <c r="AQ17" s="205"/>
      <c r="AR17" s="205"/>
      <c r="AS17" s="210"/>
      <c r="AT17" s="168"/>
      <c r="AU17" s="168"/>
      <c r="AV17" s="168"/>
      <c r="AW17" s="168"/>
    </row>
    <row r="18" spans="1:49" x14ac:dyDescent="0.25">
      <c r="A18" s="190" t="str">
        <f>hth_none&amp;" "&amp;15</f>
        <v>None 15</v>
      </c>
      <c r="B18" s="180">
        <v>3</v>
      </c>
      <c r="C18" s="180"/>
      <c r="D18" s="180"/>
      <c r="E18" s="180"/>
      <c r="F18" s="180"/>
      <c r="G18" s="180"/>
      <c r="H18" s="180"/>
      <c r="I18" s="180"/>
      <c r="J18" s="180">
        <v>20</v>
      </c>
      <c r="K18" s="180"/>
      <c r="L18" s="180"/>
      <c r="M18" s="168"/>
      <c r="N18" s="180" t="s">
        <v>324</v>
      </c>
      <c r="O18" s="180" t="str">
        <f>wp_pole</f>
        <v>Pole Arm</v>
      </c>
      <c r="P18" s="180">
        <v>3</v>
      </c>
      <c r="Q18" s="180"/>
      <c r="R18" s="180">
        <f>_xlfn.IFNA(VLOOKUP(wp_pole&amp;" "&amp;calc_lev,pole_arm,6,FALSE), "")</f>
        <v>0</v>
      </c>
      <c r="S18" s="180">
        <f t="shared" si="4"/>
        <v>3</v>
      </c>
      <c r="T18" s="180">
        <f t="shared" si="0"/>
        <v>0</v>
      </c>
      <c r="U18" s="180">
        <f>_xlfn.IFNA(VLOOKUP(wp_pole&amp;" "&amp;calc_lev,pole_arm,2,FALSE), "")</f>
        <v>1</v>
      </c>
      <c r="V18" s="180">
        <f>_xlfn.IFNA(VLOOKUP(wp_pole&amp;" "&amp;calc_lev,pole_arm,3,FALSE), "")</f>
        <v>1</v>
      </c>
      <c r="W18" s="180"/>
      <c r="X18" s="171"/>
      <c r="Y18" s="180"/>
      <c r="Z18" s="168"/>
      <c r="AA18" s="211" t="s">
        <v>229</v>
      </c>
      <c r="AB18" s="866" t="s">
        <v>240</v>
      </c>
      <c r="AC18" s="867"/>
      <c r="AD18" s="207"/>
      <c r="AE18" s="208">
        <v>0</v>
      </c>
      <c r="AF18" s="192">
        <v>0</v>
      </c>
      <c r="AG18" s="209"/>
      <c r="AH18" s="270" t="b">
        <v>0</v>
      </c>
      <c r="AI18" s="242" t="str">
        <f t="shared" si="5"/>
        <v>None</v>
      </c>
      <c r="AJ18" s="246"/>
      <c r="AK18" s="168"/>
      <c r="AL18" s="168"/>
      <c r="AM18" s="168"/>
      <c r="AN18" s="168"/>
      <c r="AO18" s="168"/>
      <c r="AP18" s="168"/>
      <c r="AQ18" s="205"/>
      <c r="AR18" s="205"/>
      <c r="AS18" s="205"/>
      <c r="AT18" s="168"/>
      <c r="AU18" s="168"/>
      <c r="AV18" s="168"/>
      <c r="AW18" s="168"/>
    </row>
    <row r="19" spans="1:49" ht="15.75" thickBot="1" x14ac:dyDescent="0.3">
      <c r="A19" s="190" t="str">
        <f>hth_basic&amp;" "&amp;1</f>
        <v>Basic 1</v>
      </c>
      <c r="B19" s="180">
        <v>4</v>
      </c>
      <c r="C19" s="180"/>
      <c r="D19" s="180"/>
      <c r="E19" s="180"/>
      <c r="F19" s="180"/>
      <c r="G19" s="180">
        <v>2</v>
      </c>
      <c r="H19" s="180">
        <v>2</v>
      </c>
      <c r="I19" s="180"/>
      <c r="J19" s="180">
        <v>20</v>
      </c>
      <c r="K19" s="180"/>
      <c r="L19" s="180"/>
      <c r="M19" s="168"/>
      <c r="N19" s="180" t="s">
        <v>325</v>
      </c>
      <c r="O19" s="180" t="str">
        <f>wp_archery</f>
        <v>Archery</v>
      </c>
      <c r="P19" s="180">
        <v>1</v>
      </c>
      <c r="Q19" s="180"/>
      <c r="R19" s="180">
        <f>_xlfn.IFNA(VLOOKUP(wp_archery&amp;" "&amp;calc_lev,archery,6,FALSE), "")</f>
        <v>0</v>
      </c>
      <c r="S19" s="180">
        <f t="shared" si="4"/>
        <v>1</v>
      </c>
      <c r="T19" s="180">
        <f t="shared" si="0"/>
        <v>0</v>
      </c>
      <c r="U19" s="180">
        <f>_xlfn.IFNA(VLOOKUP(wp_archery&amp;" "&amp;calc_lev,archery,2,FALSE), "")</f>
        <v>0</v>
      </c>
      <c r="V19" s="180">
        <f>_xlfn.IFNA(VLOOKUP(wp_archery&amp;" "&amp;calc_lev,archery,3,FALSE), "")</f>
        <v>1</v>
      </c>
      <c r="W19" s="180">
        <v>340</v>
      </c>
      <c r="X19" s="171" t="s">
        <v>196</v>
      </c>
      <c r="Y19" s="180">
        <f>IF(ps_type=ps_giant,(VLOOKUP(wp_archery&amp;" "&amp;calc_lev,archery,7,FALSE)+W19)*1.2,_xlfn.IFNA(VLOOKUP(wp_archery&amp;" "&amp;calc_lev,archery,7,FALSE)+W19,""))</f>
        <v>360</v>
      </c>
      <c r="Z19" s="168"/>
      <c r="AA19" s="212" t="s">
        <v>239</v>
      </c>
      <c r="AB19" s="868" t="s">
        <v>240</v>
      </c>
      <c r="AC19" s="869"/>
      <c r="AD19" s="213"/>
      <c r="AE19" s="214">
        <v>0</v>
      </c>
      <c r="AF19" s="198">
        <v>0</v>
      </c>
      <c r="AG19" s="215"/>
      <c r="AH19" s="271" t="b">
        <v>0</v>
      </c>
      <c r="AI19" s="244" t="str">
        <f t="shared" si="5"/>
        <v>None</v>
      </c>
      <c r="AJ19" s="247"/>
      <c r="AK19" s="168"/>
      <c r="AL19" s="168"/>
      <c r="AM19" s="168"/>
      <c r="AN19" s="168"/>
      <c r="AO19" s="168"/>
      <c r="AP19" s="168"/>
      <c r="AQ19" s="205"/>
      <c r="AR19" s="205"/>
      <c r="AS19" s="205"/>
      <c r="AT19" s="168"/>
      <c r="AU19" s="168"/>
      <c r="AV19" s="168"/>
      <c r="AW19" s="168"/>
    </row>
    <row r="20" spans="1:49" ht="15.75" thickBot="1" x14ac:dyDescent="0.3">
      <c r="A20" s="190" t="str">
        <f>hth_basic&amp;" "&amp;2</f>
        <v>Basic 2</v>
      </c>
      <c r="B20" s="180">
        <v>4</v>
      </c>
      <c r="C20" s="180"/>
      <c r="D20" s="180"/>
      <c r="E20" s="180">
        <v>2</v>
      </c>
      <c r="F20" s="180">
        <v>2</v>
      </c>
      <c r="G20" s="180">
        <v>2</v>
      </c>
      <c r="H20" s="180">
        <v>2</v>
      </c>
      <c r="I20" s="180"/>
      <c r="J20" s="180">
        <v>20</v>
      </c>
      <c r="K20" s="180"/>
      <c r="L20" s="180"/>
      <c r="M20" s="168"/>
      <c r="N20" s="180" t="s">
        <v>326</v>
      </c>
      <c r="O20" s="180" t="str">
        <f>wp_spear</f>
        <v>Spear</v>
      </c>
      <c r="P20" s="180">
        <v>1</v>
      </c>
      <c r="Q20" s="180"/>
      <c r="R20" s="180">
        <f>_xlfn.IFNA(VLOOKUP(wp_spear&amp;" "&amp;calc_lev,spear,6,FALSE), "")</f>
        <v>0</v>
      </c>
      <c r="S20" s="180">
        <f t="shared" si="4"/>
        <v>1</v>
      </c>
      <c r="T20" s="180">
        <f t="shared" si="0"/>
        <v>0</v>
      </c>
      <c r="U20" s="180">
        <f>_xlfn.IFNA(VLOOKUP(wp_spear&amp;" "&amp;calc_lev,spear,2,FALSE), "")</f>
        <v>1</v>
      </c>
      <c r="V20" s="180">
        <f>_xlfn.IFNA(VLOOKUP(wp_spear&amp;" "&amp;calc_lev,spear,3,FALSE), "")</f>
        <v>1</v>
      </c>
      <c r="W20" s="180">
        <f>IF(ps_type=ps_supernatural, 200, IF(ps_type=ps_giant, 150, 100))</f>
        <v>100</v>
      </c>
      <c r="X20" s="171" t="s">
        <v>196</v>
      </c>
      <c r="Y20" s="180">
        <f>IF(ps_type=ps_giant,(VLOOKUP(wp_spear&amp;" "&amp;calc_lev,spear,7,FALSE)+W20)*1.2,_xlfn.IFNA(VLOOKUP(wp_spear&amp;" "&amp;calc_lev,spear,7,FALSE)+W20,""))</f>
        <v>100</v>
      </c>
      <c r="Z20" s="168"/>
      <c r="AA20" s="216" t="s">
        <v>268</v>
      </c>
      <c r="AB20" s="217">
        <v>1</v>
      </c>
      <c r="AC20" s="218" t="str">
        <f>"D4+"&amp;total_damage</f>
        <v>D4+0</v>
      </c>
      <c r="AD20" s="219"/>
      <c r="AE20" s="220">
        <v>4</v>
      </c>
      <c r="AF20" s="200" t="str">
        <f>IF(VLOOKUP(total_ps, sn_ps_punch, 5, TRUE)&gt;AE20, $AM$3, AB20&amp;AC20)</f>
        <v>1D6+0</v>
      </c>
      <c r="AG20" s="221"/>
      <c r="AH20" s="244" t="b">
        <v>0</v>
      </c>
      <c r="AI20" s="242" t="str">
        <f t="shared" si="5"/>
        <v>1D4+0</v>
      </c>
      <c r="AJ20" s="248"/>
      <c r="AK20" s="168"/>
      <c r="AL20" s="168"/>
      <c r="AM20" s="168"/>
      <c r="AN20" s="168"/>
      <c r="AO20" s="168"/>
      <c r="AP20" s="168"/>
      <c r="AQ20" s="205"/>
      <c r="AR20" s="205"/>
      <c r="AS20" s="205"/>
      <c r="AT20" s="168"/>
      <c r="AU20" s="168"/>
      <c r="AV20" s="168"/>
      <c r="AW20" s="168"/>
    </row>
    <row r="21" spans="1:49" x14ac:dyDescent="0.25">
      <c r="A21" s="190" t="str">
        <f>hth_basic&amp;" "&amp;3</f>
        <v>Basic 3</v>
      </c>
      <c r="B21" s="180">
        <v>4</v>
      </c>
      <c r="C21" s="180"/>
      <c r="D21" s="180"/>
      <c r="E21" s="180">
        <v>2</v>
      </c>
      <c r="F21" s="180">
        <v>2</v>
      </c>
      <c r="G21" s="180">
        <v>2</v>
      </c>
      <c r="H21" s="180">
        <v>2</v>
      </c>
      <c r="I21" s="180"/>
      <c r="J21" s="180">
        <v>20</v>
      </c>
      <c r="K21" s="180"/>
      <c r="L21" s="180"/>
      <c r="M21" s="168"/>
      <c r="N21" s="180" t="s">
        <v>327</v>
      </c>
      <c r="O21" s="180" t="str">
        <f>wp_staff</f>
        <v>Staff</v>
      </c>
      <c r="P21" s="180">
        <v>1</v>
      </c>
      <c r="Q21" s="180"/>
      <c r="R21" s="180">
        <f>_xlfn.IFNA(VLOOKUP(wp_staff&amp;" "&amp;calc_lev,staff,6,FALSE), "")</f>
        <v>0</v>
      </c>
      <c r="S21" s="180">
        <f t="shared" si="4"/>
        <v>1</v>
      </c>
      <c r="T21" s="180">
        <f t="shared" si="0"/>
        <v>0</v>
      </c>
      <c r="U21" s="180">
        <f>_xlfn.IFNA(VLOOKUP(wp_staff&amp;" "&amp;calc_lev,staff,2,FALSE), "")</f>
        <v>1</v>
      </c>
      <c r="V21" s="180">
        <f>_xlfn.IFNA(VLOOKUP(wp_staff&amp;" "&amp;calc_lev,staff,3,FALSE), "")</f>
        <v>1</v>
      </c>
      <c r="W21" s="180"/>
      <c r="X21" s="171"/>
      <c r="Y21" s="180"/>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row>
    <row r="22" spans="1:49" x14ac:dyDescent="0.25">
      <c r="A22" s="190" t="str">
        <f>hth_basic&amp;" "&amp;4</f>
        <v>Basic 4</v>
      </c>
      <c r="B22" s="180">
        <v>5</v>
      </c>
      <c r="C22" s="180"/>
      <c r="D22" s="180"/>
      <c r="E22" s="180">
        <v>2</v>
      </c>
      <c r="F22" s="180">
        <v>2</v>
      </c>
      <c r="G22" s="180">
        <v>2</v>
      </c>
      <c r="H22" s="180">
        <v>2</v>
      </c>
      <c r="I22" s="180"/>
      <c r="J22" s="180">
        <v>20</v>
      </c>
      <c r="K22" s="180"/>
      <c r="L22" s="180"/>
      <c r="M22" s="168"/>
      <c r="N22" s="180" t="s">
        <v>328</v>
      </c>
      <c r="O22" s="180" t="str">
        <f>wp_target</f>
        <v>Targeting/Missile Weapons</v>
      </c>
      <c r="P22" s="180">
        <v>1</v>
      </c>
      <c r="Q22" s="180"/>
      <c r="R22" s="180">
        <f>_xlfn.IFNA(VLOOKUP(wp_target&amp;" "&amp;calc_lev,missile,6,FALSE), "")</f>
        <v>0</v>
      </c>
      <c r="S22" s="180">
        <f t="shared" si="4"/>
        <v>1</v>
      </c>
      <c r="T22" s="180">
        <f t="shared" si="0"/>
        <v>0</v>
      </c>
      <c r="U22" s="180">
        <f>_xlfn.IFNA(VLOOKUP(wp_target&amp;" "&amp;calc_lev,missile,2,FALSE), "")</f>
        <v>1</v>
      </c>
      <c r="V22" s="180">
        <f>_xlfn.IFNA(VLOOKUP(wp_target&amp;" "&amp;calc_lev,missile,3,FALSE), "")</f>
        <v>0</v>
      </c>
      <c r="W22" s="180">
        <v>80</v>
      </c>
      <c r="X22" s="171" t="s">
        <v>196</v>
      </c>
      <c r="Y22" s="180">
        <f>IF(ps_type=ps_giant,(VLOOKUP(wp_target&amp;" "&amp;calc_lev,missile,7,FALSE)+W22)*1.2,_xlfn.IFNA(VLOOKUP(wp_target&amp;" "&amp;calc_lev,missile,7,FALSE)+W22,""))</f>
        <v>80</v>
      </c>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row>
    <row r="23" spans="1:49" x14ac:dyDescent="0.25">
      <c r="A23" s="190" t="str">
        <f>hth_basic&amp;" "&amp;5</f>
        <v>Basic 5</v>
      </c>
      <c r="B23" s="180">
        <v>5</v>
      </c>
      <c r="C23" s="180"/>
      <c r="D23" s="180">
        <v>1</v>
      </c>
      <c r="E23" s="180">
        <v>2</v>
      </c>
      <c r="F23" s="180">
        <v>2</v>
      </c>
      <c r="G23" s="180">
        <v>2</v>
      </c>
      <c r="H23" s="180">
        <v>2</v>
      </c>
      <c r="I23" s="180"/>
      <c r="J23" s="180">
        <v>20</v>
      </c>
      <c r="K23" s="180"/>
      <c r="L23" s="180"/>
      <c r="M23" s="168"/>
      <c r="N23" s="180" t="s">
        <v>329</v>
      </c>
      <c r="O23" s="180" t="str">
        <f>wp_shield</f>
        <v>Shield</v>
      </c>
      <c r="P23" s="180">
        <v>1</v>
      </c>
      <c r="Q23" s="180"/>
      <c r="R23" s="180">
        <f>_xlfn.IFNA(VLOOKUP(wp_shield&amp;" "&amp;calc_lev,shield,6,FALSE), "")</f>
        <v>0</v>
      </c>
      <c r="S23" s="180">
        <f t="shared" si="4"/>
        <v>1</v>
      </c>
      <c r="T23" s="180">
        <f t="shared" si="0"/>
        <v>0</v>
      </c>
      <c r="U23" s="180">
        <f>_xlfn.IFNA(VLOOKUP(wp_shield&amp;" "&amp;calc_lev,shield,2,FALSE), "")</f>
        <v>0</v>
      </c>
      <c r="V23" s="180">
        <f>_xlfn.IFNA(VLOOKUP(wp_shield&amp;" "&amp;calc_lev,shield,3,FALSE), "")</f>
        <v>1</v>
      </c>
      <c r="W23" s="180"/>
      <c r="X23" s="171"/>
      <c r="Y23" s="180"/>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row>
    <row r="24" spans="1:49" x14ac:dyDescent="0.25">
      <c r="A24" s="190" t="str">
        <f>hth_basic&amp;" "&amp;6</f>
        <v>Basic 6</v>
      </c>
      <c r="B24" s="180">
        <v>5</v>
      </c>
      <c r="C24" s="180"/>
      <c r="D24" s="180">
        <v>1</v>
      </c>
      <c r="E24" s="180">
        <v>2</v>
      </c>
      <c r="F24" s="180">
        <v>2</v>
      </c>
      <c r="G24" s="180">
        <v>2</v>
      </c>
      <c r="H24" s="180">
        <v>2</v>
      </c>
      <c r="I24" s="180"/>
      <c r="J24" s="222" t="s">
        <v>330</v>
      </c>
      <c r="K24" s="180"/>
      <c r="L24" s="180"/>
      <c r="M24" s="168"/>
      <c r="N24" s="180" t="s">
        <v>331</v>
      </c>
      <c r="O24" s="180" t="str">
        <f>wp_forked</f>
        <v>Forked Weapons/Trident</v>
      </c>
      <c r="P24" s="180">
        <v>2</v>
      </c>
      <c r="Q24" s="180">
        <v>2</v>
      </c>
      <c r="R24" s="180">
        <f>_xlfn.IFNA(VLOOKUP(wp_forked&amp;" "&amp;calc_lev,forked,6,FALSE), "")</f>
        <v>0</v>
      </c>
      <c r="S24" s="180">
        <f t="shared" si="4"/>
        <v>2</v>
      </c>
      <c r="T24" s="180">
        <f t="shared" si="0"/>
        <v>2</v>
      </c>
      <c r="U24" s="180">
        <f>_xlfn.IFNA(VLOOKUP(wp_forked&amp;" "&amp;calc_lev,forked,2,FALSE), "")</f>
        <v>1</v>
      </c>
      <c r="V24" s="180">
        <f>_xlfn.IFNA(VLOOKUP(wp_forked&amp;" "&amp;calc_lev,forked,3,FALSE), "")</f>
        <v>1</v>
      </c>
      <c r="W24" s="180"/>
      <c r="X24" s="171" t="s">
        <v>266</v>
      </c>
      <c r="Y24" s="180">
        <f>_xlfn.IFNA(VLOOKUP(wp_forked&amp;" "&amp;calc_lev, forked, 5, FALSE), "")</f>
        <v>1</v>
      </c>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row>
    <row r="25" spans="1:49" x14ac:dyDescent="0.25">
      <c r="A25" s="190" t="str">
        <f>hth_basic&amp;" "&amp;7</f>
        <v>Basic 7</v>
      </c>
      <c r="B25" s="180">
        <v>5</v>
      </c>
      <c r="C25" s="180"/>
      <c r="D25" s="180">
        <v>1</v>
      </c>
      <c r="E25" s="180">
        <v>2</v>
      </c>
      <c r="F25" s="180">
        <v>2</v>
      </c>
      <c r="G25" s="180">
        <v>2</v>
      </c>
      <c r="H25" s="180">
        <v>2</v>
      </c>
      <c r="I25" s="180">
        <v>2</v>
      </c>
      <c r="J25" s="222" t="s">
        <v>330</v>
      </c>
      <c r="K25" s="180"/>
      <c r="L25" s="180"/>
      <c r="M25" s="168"/>
      <c r="N25" s="180" t="s">
        <v>332</v>
      </c>
      <c r="O25" s="180" t="str">
        <f>wp_pole</f>
        <v>Pole Arm</v>
      </c>
      <c r="P25" s="180">
        <v>4</v>
      </c>
      <c r="Q25" s="180"/>
      <c r="R25" s="180">
        <f>_xlfn.IFNA(VLOOKUP(wp_pole&amp;" "&amp;calc_lev,pole_arm,6,FALSE), "")</f>
        <v>0</v>
      </c>
      <c r="S25" s="180">
        <f t="shared" si="4"/>
        <v>4</v>
      </c>
      <c r="T25" s="180">
        <f t="shared" si="0"/>
        <v>0</v>
      </c>
      <c r="U25" s="180">
        <f>_xlfn.IFNA(VLOOKUP(wp_pole&amp;" "&amp;calc_lev,pole_arm,2,FALSE), "")</f>
        <v>1</v>
      </c>
      <c r="V25" s="180">
        <f>_xlfn.IFNA(VLOOKUP(wp_pole&amp;" "&amp;calc_lev,pole_arm,3,FALSE), "")</f>
        <v>1</v>
      </c>
      <c r="W25" s="180"/>
      <c r="X25" s="171"/>
      <c r="Y25" s="180"/>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row>
    <row r="26" spans="1:49" x14ac:dyDescent="0.25">
      <c r="A26" s="190" t="str">
        <f>hth_basic&amp;" "&amp;8</f>
        <v>Basic 8</v>
      </c>
      <c r="B26" s="180">
        <v>5</v>
      </c>
      <c r="C26" s="180"/>
      <c r="D26" s="180">
        <v>1</v>
      </c>
      <c r="E26" s="180">
        <v>2</v>
      </c>
      <c r="F26" s="180">
        <v>2</v>
      </c>
      <c r="G26" s="180">
        <v>2</v>
      </c>
      <c r="H26" s="180">
        <v>2</v>
      </c>
      <c r="I26" s="180">
        <v>2</v>
      </c>
      <c r="J26" s="222" t="s">
        <v>330</v>
      </c>
      <c r="K26" s="180"/>
      <c r="L26" s="180"/>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row>
    <row r="27" spans="1:49" x14ac:dyDescent="0.25">
      <c r="A27" s="190" t="str">
        <f>hth_basic&amp;" "&amp;9</f>
        <v>Basic 9</v>
      </c>
      <c r="B27" s="180">
        <v>6</v>
      </c>
      <c r="C27" s="180"/>
      <c r="D27" s="180">
        <v>1</v>
      </c>
      <c r="E27" s="180">
        <v>2</v>
      </c>
      <c r="F27" s="180">
        <v>2</v>
      </c>
      <c r="G27" s="180">
        <v>2</v>
      </c>
      <c r="H27" s="180">
        <v>2</v>
      </c>
      <c r="I27" s="180">
        <v>2</v>
      </c>
      <c r="J27" s="222" t="s">
        <v>330</v>
      </c>
      <c r="K27" s="180"/>
      <c r="L27" s="180"/>
      <c r="M27" s="168"/>
      <c r="N27" s="164" t="s">
        <v>104</v>
      </c>
      <c r="O27" s="164" t="s">
        <v>105</v>
      </c>
      <c r="P27" s="164" t="s">
        <v>90</v>
      </c>
      <c r="Q27" s="164" t="s">
        <v>333</v>
      </c>
      <c r="R27" s="168"/>
      <c r="S27" s="168"/>
      <c r="T27" s="168"/>
      <c r="U27" s="168"/>
      <c r="V27" s="168"/>
      <c r="W27" s="865" t="s">
        <v>380</v>
      </c>
      <c r="X27" s="865"/>
      <c r="Y27" s="865"/>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row>
    <row r="28" spans="1:49" x14ac:dyDescent="0.25">
      <c r="A28" s="190" t="str">
        <f>hth_basic&amp;" "&amp;10</f>
        <v>Basic 10</v>
      </c>
      <c r="B28" s="180">
        <v>6</v>
      </c>
      <c r="C28" s="180"/>
      <c r="D28" s="180">
        <v>1</v>
      </c>
      <c r="E28" s="180">
        <v>2</v>
      </c>
      <c r="F28" s="180">
        <v>2</v>
      </c>
      <c r="G28" s="180">
        <v>4</v>
      </c>
      <c r="H28" s="180">
        <v>4</v>
      </c>
      <c r="I28" s="180">
        <v>2</v>
      </c>
      <c r="J28" s="222" t="s">
        <v>330</v>
      </c>
      <c r="K28" s="180"/>
      <c r="L28" s="180"/>
      <c r="M28" s="168"/>
      <c r="N28" s="170" t="s">
        <v>240</v>
      </c>
      <c r="O28" s="170"/>
      <c r="P28" s="170"/>
      <c r="Q28" s="170"/>
      <c r="R28" s="168"/>
      <c r="S28" s="168"/>
      <c r="T28" s="168"/>
      <c r="U28" s="168"/>
      <c r="V28" s="168"/>
      <c r="W28" s="253"/>
      <c r="X28" s="253"/>
      <c r="Y28" s="253"/>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row>
    <row r="29" spans="1:49" x14ac:dyDescent="0.25">
      <c r="A29" s="190" t="str">
        <f>hth_basic&amp;" "&amp;11</f>
        <v>Basic 11</v>
      </c>
      <c r="B29" s="180">
        <v>6</v>
      </c>
      <c r="C29" s="180"/>
      <c r="D29" s="180">
        <v>1</v>
      </c>
      <c r="E29" s="180">
        <v>3</v>
      </c>
      <c r="F29" s="180">
        <v>3</v>
      </c>
      <c r="G29" s="180">
        <v>4</v>
      </c>
      <c r="H29" s="180">
        <v>4</v>
      </c>
      <c r="I29" s="180">
        <v>2</v>
      </c>
      <c r="J29" s="222" t="s">
        <v>330</v>
      </c>
      <c r="K29" s="180"/>
      <c r="L29" s="180"/>
      <c r="M29" s="168"/>
      <c r="N29" s="180" t="s">
        <v>334</v>
      </c>
      <c r="O29" s="180">
        <v>5</v>
      </c>
      <c r="P29" s="180">
        <v>6</v>
      </c>
      <c r="Q29" s="180"/>
      <c r="R29" s="168"/>
      <c r="S29" s="168"/>
      <c r="T29" s="168"/>
      <c r="U29" s="168"/>
      <c r="V29" s="168"/>
      <c r="W29" s="254" t="s">
        <v>381</v>
      </c>
      <c r="X29" s="254" t="str">
        <f>plus&amp;1</f>
        <v>+1</v>
      </c>
      <c r="Y29" s="254">
        <v>1</v>
      </c>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row>
    <row r="30" spans="1:49" x14ac:dyDescent="0.25">
      <c r="A30" s="190" t="str">
        <f>hth_basic&amp;" "&amp;12</f>
        <v>Basic 12</v>
      </c>
      <c r="B30" s="180">
        <v>6</v>
      </c>
      <c r="C30" s="180"/>
      <c r="D30" s="180">
        <v>2</v>
      </c>
      <c r="E30" s="180">
        <v>3</v>
      </c>
      <c r="F30" s="180">
        <v>3</v>
      </c>
      <c r="G30" s="180">
        <v>4</v>
      </c>
      <c r="H30" s="180">
        <v>4</v>
      </c>
      <c r="I30" s="180">
        <v>2</v>
      </c>
      <c r="J30" s="222" t="s">
        <v>330</v>
      </c>
      <c r="K30" s="180"/>
      <c r="L30" s="180"/>
      <c r="M30" s="168"/>
      <c r="N30" s="180" t="s">
        <v>335</v>
      </c>
      <c r="O30" s="180">
        <v>8</v>
      </c>
      <c r="P30" s="180">
        <v>15</v>
      </c>
      <c r="Q30" s="180"/>
      <c r="R30" s="168"/>
      <c r="S30" s="168"/>
      <c r="T30" s="168"/>
      <c r="U30" s="168"/>
      <c r="V30" s="168"/>
      <c r="W30" s="254" t="s">
        <v>293</v>
      </c>
      <c r="X30" s="254" t="str">
        <f>plus&amp;2</f>
        <v>+2</v>
      </c>
      <c r="Y30" s="254">
        <v>2</v>
      </c>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row>
    <row r="31" spans="1:49" x14ac:dyDescent="0.25">
      <c r="A31" s="190" t="str">
        <f>hth_basic&amp;" "&amp;13</f>
        <v>Basic 13</v>
      </c>
      <c r="B31" s="180">
        <v>6</v>
      </c>
      <c r="C31" s="180"/>
      <c r="D31" s="180">
        <v>2</v>
      </c>
      <c r="E31" s="180">
        <v>3</v>
      </c>
      <c r="F31" s="180">
        <v>3</v>
      </c>
      <c r="G31" s="180">
        <v>4</v>
      </c>
      <c r="H31" s="180">
        <v>4</v>
      </c>
      <c r="I31" s="180">
        <v>2</v>
      </c>
      <c r="J31" s="222" t="s">
        <v>330</v>
      </c>
      <c r="K31" s="180"/>
      <c r="L31" s="180"/>
      <c r="M31" s="168"/>
      <c r="N31" s="180" t="s">
        <v>336</v>
      </c>
      <c r="O31" s="180">
        <v>10</v>
      </c>
      <c r="P31" s="180">
        <v>20</v>
      </c>
      <c r="Q31" s="180"/>
      <c r="R31" s="168"/>
      <c r="S31" s="168"/>
      <c r="T31" s="168"/>
      <c r="U31" s="168"/>
      <c r="V31" s="168"/>
      <c r="W31" s="254" t="s">
        <v>382</v>
      </c>
      <c r="X31" s="254" t="str">
        <f>plus&amp;3</f>
        <v>+3</v>
      </c>
      <c r="Y31" s="254">
        <v>3</v>
      </c>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row>
    <row r="32" spans="1:49" x14ac:dyDescent="0.25">
      <c r="A32" s="190" t="str">
        <f>hth_basic&amp;" "&amp;14</f>
        <v>Basic 14</v>
      </c>
      <c r="B32" s="180">
        <v>6</v>
      </c>
      <c r="C32" s="180"/>
      <c r="D32" s="180">
        <v>2</v>
      </c>
      <c r="E32" s="180">
        <v>3</v>
      </c>
      <c r="F32" s="180">
        <v>3</v>
      </c>
      <c r="G32" s="180">
        <v>4</v>
      </c>
      <c r="H32" s="180">
        <v>4</v>
      </c>
      <c r="I32" s="180">
        <v>4</v>
      </c>
      <c r="J32" s="222" t="s">
        <v>330</v>
      </c>
      <c r="K32" s="180"/>
      <c r="L32" s="180"/>
      <c r="M32" s="168"/>
      <c r="N32" s="180" t="s">
        <v>337</v>
      </c>
      <c r="O32" s="180">
        <v>11</v>
      </c>
      <c r="P32" s="180">
        <v>30</v>
      </c>
      <c r="Q32" s="180"/>
      <c r="R32" s="168"/>
      <c r="S32" s="168"/>
      <c r="T32" s="168"/>
      <c r="U32" s="168"/>
      <c r="V32" s="168"/>
      <c r="W32" s="254" t="s">
        <v>383</v>
      </c>
      <c r="X32" s="254" t="str">
        <f>plus&amp;4</f>
        <v>+4</v>
      </c>
      <c r="Y32" s="254">
        <v>4</v>
      </c>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row>
    <row r="33" spans="1:49" x14ac:dyDescent="0.25">
      <c r="A33" s="190" t="str">
        <f>hth_basic&amp;" "&amp;15</f>
        <v>Basic 15</v>
      </c>
      <c r="B33" s="180">
        <v>7</v>
      </c>
      <c r="C33" s="180"/>
      <c r="D33" s="180">
        <v>2</v>
      </c>
      <c r="E33" s="180">
        <v>3</v>
      </c>
      <c r="F33" s="180">
        <v>3</v>
      </c>
      <c r="G33" s="180">
        <v>4</v>
      </c>
      <c r="H33" s="180">
        <v>4</v>
      </c>
      <c r="I33" s="180">
        <v>4</v>
      </c>
      <c r="J33" s="222" t="s">
        <v>330</v>
      </c>
      <c r="K33" s="180"/>
      <c r="L33" s="180"/>
      <c r="M33" s="168"/>
      <c r="N33" s="180" t="s">
        <v>338</v>
      </c>
      <c r="O33" s="180">
        <v>13</v>
      </c>
      <c r="P33" s="180">
        <v>38</v>
      </c>
      <c r="Q33" s="223" t="s">
        <v>339</v>
      </c>
      <c r="R33" s="168"/>
      <c r="S33" s="168"/>
      <c r="T33" s="168"/>
      <c r="U33" s="168"/>
      <c r="V33" s="168"/>
      <c r="W33" s="254" t="s">
        <v>384</v>
      </c>
      <c r="X33" s="254" t="str">
        <f>plus&amp;5</f>
        <v>+5</v>
      </c>
      <c r="Y33" s="254">
        <v>5</v>
      </c>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row>
    <row r="34" spans="1:49" x14ac:dyDescent="0.25">
      <c r="A34" s="180" t="str">
        <f>hth_expert&amp;" "&amp;1</f>
        <v>Expert 1</v>
      </c>
      <c r="B34" s="180">
        <v>4</v>
      </c>
      <c r="C34" s="180"/>
      <c r="D34" s="224"/>
      <c r="E34" s="180"/>
      <c r="F34" s="180"/>
      <c r="G34" s="180">
        <v>2</v>
      </c>
      <c r="H34" s="180">
        <v>2</v>
      </c>
      <c r="I34" s="180"/>
      <c r="J34" s="180">
        <v>20</v>
      </c>
      <c r="K34" s="180"/>
      <c r="L34" s="180"/>
      <c r="M34" s="168"/>
      <c r="N34" s="180" t="s">
        <v>340</v>
      </c>
      <c r="O34" s="180">
        <v>14</v>
      </c>
      <c r="P34" s="180">
        <v>44</v>
      </c>
      <c r="Q34" s="223" t="s">
        <v>341</v>
      </c>
      <c r="R34" s="168"/>
      <c r="S34" s="168"/>
      <c r="T34" s="168"/>
      <c r="U34" s="168"/>
      <c r="V34" s="168"/>
      <c r="W34" s="254" t="s">
        <v>385</v>
      </c>
      <c r="X34" s="254" t="str">
        <f>plus&amp;6</f>
        <v>+6</v>
      </c>
      <c r="Y34" s="254">
        <v>6</v>
      </c>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row>
    <row r="35" spans="1:49" x14ac:dyDescent="0.25">
      <c r="A35" s="180" t="str">
        <f>hth_expert&amp;" "&amp;2</f>
        <v>Expert 2</v>
      </c>
      <c r="B35" s="180">
        <v>4</v>
      </c>
      <c r="C35" s="180"/>
      <c r="D35" s="180"/>
      <c r="E35" s="180">
        <v>3</v>
      </c>
      <c r="F35" s="180">
        <v>3</v>
      </c>
      <c r="G35" s="180">
        <v>2</v>
      </c>
      <c r="H35" s="180">
        <v>2</v>
      </c>
      <c r="I35" s="180"/>
      <c r="J35" s="180">
        <v>20</v>
      </c>
      <c r="K35" s="180"/>
      <c r="L35" s="180"/>
      <c r="M35" s="168"/>
      <c r="N35" s="180" t="s">
        <v>342</v>
      </c>
      <c r="O35" s="180">
        <v>9</v>
      </c>
      <c r="P35" s="180">
        <v>20</v>
      </c>
      <c r="Q35" s="223" t="s">
        <v>341</v>
      </c>
      <c r="R35" s="168"/>
      <c r="S35" s="168"/>
      <c r="T35" s="168"/>
      <c r="U35" s="168"/>
      <c r="V35" s="168"/>
      <c r="W35" s="254" t="s">
        <v>294</v>
      </c>
      <c r="X35" s="254" t="str">
        <f>plus&amp;7</f>
        <v>+7</v>
      </c>
      <c r="Y35" s="254">
        <v>7</v>
      </c>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row>
    <row r="36" spans="1:49" x14ac:dyDescent="0.25">
      <c r="A36" s="180" t="str">
        <f>hth_expert&amp;" "&amp;3</f>
        <v>Expert 3</v>
      </c>
      <c r="B36" s="180">
        <v>4</v>
      </c>
      <c r="C36" s="180"/>
      <c r="D36" s="180">
        <v>2</v>
      </c>
      <c r="E36" s="180">
        <v>3</v>
      </c>
      <c r="F36" s="180">
        <v>3</v>
      </c>
      <c r="G36" s="180">
        <v>2</v>
      </c>
      <c r="H36" s="180">
        <v>2</v>
      </c>
      <c r="I36" s="180"/>
      <c r="J36" s="180">
        <v>20</v>
      </c>
      <c r="K36" s="180"/>
      <c r="L36" s="180"/>
      <c r="M36" s="168"/>
      <c r="N36" s="180" t="s">
        <v>343</v>
      </c>
      <c r="O36" s="180">
        <v>15</v>
      </c>
      <c r="P36" s="180">
        <v>55</v>
      </c>
      <c r="Q36" s="223" t="s">
        <v>341</v>
      </c>
      <c r="R36" s="168"/>
      <c r="S36" s="168"/>
      <c r="T36" s="168"/>
      <c r="U36" s="168"/>
      <c r="V36" s="168"/>
      <c r="W36" s="254"/>
      <c r="X36" s="254" t="str">
        <f>plus&amp;8</f>
        <v>+8</v>
      </c>
      <c r="Y36" s="254">
        <v>8</v>
      </c>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row>
    <row r="37" spans="1:49" x14ac:dyDescent="0.25">
      <c r="A37" s="180" t="str">
        <f>hth_expert&amp;" "&amp;4</f>
        <v>Expert 4</v>
      </c>
      <c r="B37" s="180">
        <v>5</v>
      </c>
      <c r="C37" s="180"/>
      <c r="D37" s="180">
        <v>2</v>
      </c>
      <c r="E37" s="180">
        <v>3</v>
      </c>
      <c r="F37" s="180">
        <v>3</v>
      </c>
      <c r="G37" s="180">
        <v>2</v>
      </c>
      <c r="H37" s="180">
        <v>2</v>
      </c>
      <c r="I37" s="180"/>
      <c r="J37" s="180">
        <v>20</v>
      </c>
      <c r="K37" s="180"/>
      <c r="L37" s="180"/>
      <c r="M37" s="168"/>
      <c r="N37" s="180" t="s">
        <v>344</v>
      </c>
      <c r="O37" s="180">
        <v>10</v>
      </c>
      <c r="P37" s="180">
        <v>28</v>
      </c>
      <c r="Q37" s="223" t="s">
        <v>341</v>
      </c>
      <c r="R37" s="168"/>
      <c r="S37" s="168"/>
      <c r="T37" s="168"/>
      <c r="U37" s="168"/>
      <c r="V37" s="168"/>
      <c r="W37" s="254"/>
      <c r="X37" s="254" t="str">
        <f>plus&amp;9</f>
        <v>+9</v>
      </c>
      <c r="Y37" s="254">
        <v>9</v>
      </c>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row>
    <row r="38" spans="1:49" x14ac:dyDescent="0.25">
      <c r="A38" s="180" t="str">
        <f>hth_expert&amp;" "&amp;5</f>
        <v>Expert 5</v>
      </c>
      <c r="B38" s="180">
        <v>5</v>
      </c>
      <c r="C38" s="180"/>
      <c r="D38" s="180">
        <v>2</v>
      </c>
      <c r="E38" s="180">
        <v>3</v>
      </c>
      <c r="F38" s="180">
        <v>3</v>
      </c>
      <c r="G38" s="180">
        <v>2</v>
      </c>
      <c r="H38" s="180">
        <v>2</v>
      </c>
      <c r="I38" s="180"/>
      <c r="J38" s="180">
        <v>20</v>
      </c>
      <c r="K38" s="180"/>
      <c r="L38" s="180"/>
      <c r="M38" s="168"/>
      <c r="N38" s="180" t="s">
        <v>345</v>
      </c>
      <c r="O38" s="180">
        <v>15</v>
      </c>
      <c r="P38" s="180">
        <v>75</v>
      </c>
      <c r="Q38" s="223" t="s">
        <v>341</v>
      </c>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row>
    <row r="39" spans="1:49" x14ac:dyDescent="0.25">
      <c r="A39" s="180" t="str">
        <f>hth_expert&amp;" "&amp;6</f>
        <v>Expert 6</v>
      </c>
      <c r="B39" s="180">
        <v>5</v>
      </c>
      <c r="C39" s="180"/>
      <c r="D39" s="180">
        <v>2</v>
      </c>
      <c r="E39" s="180">
        <v>3</v>
      </c>
      <c r="F39" s="180">
        <v>3</v>
      </c>
      <c r="G39" s="180">
        <v>2</v>
      </c>
      <c r="H39" s="180">
        <v>2</v>
      </c>
      <c r="I39" s="180"/>
      <c r="J39" s="222" t="s">
        <v>346</v>
      </c>
      <c r="K39" s="180"/>
      <c r="L39" s="180"/>
      <c r="M39" s="168"/>
      <c r="N39" s="180" t="s">
        <v>347</v>
      </c>
      <c r="O39" s="180">
        <v>11</v>
      </c>
      <c r="P39" s="180">
        <v>35</v>
      </c>
      <c r="Q39" s="223" t="s">
        <v>341</v>
      </c>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row>
    <row r="40" spans="1:49" x14ac:dyDescent="0.25">
      <c r="A40" s="180" t="str">
        <f>hth_expert&amp;" "&amp;7</f>
        <v>Expert 7</v>
      </c>
      <c r="B40" s="180">
        <v>5</v>
      </c>
      <c r="C40" s="180"/>
      <c r="D40" s="180">
        <v>2</v>
      </c>
      <c r="E40" s="180">
        <v>3</v>
      </c>
      <c r="F40" s="180">
        <v>3</v>
      </c>
      <c r="G40" s="180">
        <v>2</v>
      </c>
      <c r="H40" s="180">
        <v>2</v>
      </c>
      <c r="I40" s="180"/>
      <c r="J40" s="222" t="s">
        <v>346</v>
      </c>
      <c r="K40" s="180"/>
      <c r="L40" s="180"/>
      <c r="M40" s="168"/>
      <c r="N40" s="180" t="s">
        <v>348</v>
      </c>
      <c r="O40" s="180">
        <v>16</v>
      </c>
      <c r="P40" s="180">
        <v>82</v>
      </c>
      <c r="Q40" s="223" t="s">
        <v>349</v>
      </c>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row>
    <row r="41" spans="1:49" x14ac:dyDescent="0.25">
      <c r="A41" s="180" t="str">
        <f>hth_expert&amp;" "&amp;8</f>
        <v>Expert 8</v>
      </c>
      <c r="B41" s="180">
        <v>5</v>
      </c>
      <c r="C41" s="180"/>
      <c r="D41" s="180">
        <v>2</v>
      </c>
      <c r="E41" s="180">
        <v>3</v>
      </c>
      <c r="F41" s="180">
        <v>3</v>
      </c>
      <c r="G41" s="180">
        <v>2</v>
      </c>
      <c r="H41" s="180">
        <v>2</v>
      </c>
      <c r="I41" s="180"/>
      <c r="J41" s="222" t="s">
        <v>346</v>
      </c>
      <c r="K41" s="180"/>
      <c r="L41" s="180"/>
      <c r="M41" s="168"/>
      <c r="N41" s="180" t="s">
        <v>350</v>
      </c>
      <c r="O41" s="180">
        <v>12</v>
      </c>
      <c r="P41" s="180">
        <v>40</v>
      </c>
      <c r="Q41" s="223" t="s">
        <v>349</v>
      </c>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row>
    <row r="42" spans="1:49" x14ac:dyDescent="0.25">
      <c r="A42" s="180" t="str">
        <f>hth_expert&amp;" "&amp;9</f>
        <v>Expert 9</v>
      </c>
      <c r="B42" s="180">
        <v>6</v>
      </c>
      <c r="C42" s="180"/>
      <c r="D42" s="180">
        <v>2</v>
      </c>
      <c r="E42" s="180">
        <v>3</v>
      </c>
      <c r="F42" s="180">
        <v>3</v>
      </c>
      <c r="G42" s="180">
        <v>2</v>
      </c>
      <c r="H42" s="180">
        <v>2</v>
      </c>
      <c r="I42" s="180"/>
      <c r="J42" s="222" t="s">
        <v>346</v>
      </c>
      <c r="K42" s="180"/>
      <c r="L42" s="180"/>
      <c r="M42" s="168"/>
      <c r="N42" s="180" t="s">
        <v>351</v>
      </c>
      <c r="O42" s="180">
        <v>17</v>
      </c>
      <c r="P42" s="180">
        <v>160</v>
      </c>
      <c r="Q42" s="223" t="s">
        <v>349</v>
      </c>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row>
    <row r="43" spans="1:49" x14ac:dyDescent="0.25">
      <c r="A43" s="180" t="str">
        <f>hth_expert&amp;" "&amp;10</f>
        <v>Expert 10</v>
      </c>
      <c r="B43" s="180">
        <v>6</v>
      </c>
      <c r="C43" s="180"/>
      <c r="D43" s="180">
        <v>2</v>
      </c>
      <c r="E43" s="180">
        <v>3</v>
      </c>
      <c r="F43" s="180">
        <v>3</v>
      </c>
      <c r="G43" s="180">
        <v>2</v>
      </c>
      <c r="H43" s="180">
        <v>4</v>
      </c>
      <c r="I43" s="180">
        <v>3</v>
      </c>
      <c r="J43" s="222" t="s">
        <v>346</v>
      </c>
      <c r="K43" s="180"/>
      <c r="L43" s="180"/>
      <c r="M43" s="168"/>
      <c r="N43" s="180" t="s">
        <v>352</v>
      </c>
      <c r="O43" s="180">
        <v>14</v>
      </c>
      <c r="P43" s="180">
        <v>60</v>
      </c>
      <c r="Q43" s="223" t="s">
        <v>349</v>
      </c>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row>
    <row r="44" spans="1:49" x14ac:dyDescent="0.25">
      <c r="A44" s="180" t="str">
        <f>hth_expert&amp;" "&amp;11</f>
        <v>Expert 11</v>
      </c>
      <c r="B44" s="180">
        <v>6</v>
      </c>
      <c r="C44" s="180"/>
      <c r="D44" s="180">
        <v>2</v>
      </c>
      <c r="E44" s="180">
        <v>3</v>
      </c>
      <c r="F44" s="180">
        <v>3</v>
      </c>
      <c r="G44" s="180">
        <v>2</v>
      </c>
      <c r="H44" s="180">
        <v>4</v>
      </c>
      <c r="I44" s="180">
        <v>3</v>
      </c>
      <c r="J44" s="222" t="s">
        <v>346</v>
      </c>
      <c r="K44" s="222" t="s">
        <v>346</v>
      </c>
      <c r="L44" s="180"/>
      <c r="M44" s="168"/>
      <c r="N44" s="180" t="s">
        <v>353</v>
      </c>
      <c r="O44" s="180">
        <v>15</v>
      </c>
      <c r="P44" s="180">
        <v>100</v>
      </c>
      <c r="Q44" s="223" t="s">
        <v>349</v>
      </c>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row>
    <row r="45" spans="1:49" x14ac:dyDescent="0.25">
      <c r="A45" s="180" t="str">
        <f>hth_expert&amp;" "&amp;12</f>
        <v>Expert 12</v>
      </c>
      <c r="B45" s="180">
        <v>6</v>
      </c>
      <c r="C45" s="180"/>
      <c r="D45" s="180">
        <v>2</v>
      </c>
      <c r="E45" s="180">
        <v>5</v>
      </c>
      <c r="F45" s="180">
        <v>5</v>
      </c>
      <c r="G45" s="180">
        <v>2</v>
      </c>
      <c r="H45" s="180">
        <v>4</v>
      </c>
      <c r="I45" s="180">
        <v>3</v>
      </c>
      <c r="J45" s="222" t="s">
        <v>346</v>
      </c>
      <c r="K45" s="222" t="s">
        <v>346</v>
      </c>
      <c r="L45" s="180"/>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row>
    <row r="46" spans="1:49" ht="15.75" thickBot="1" x14ac:dyDescent="0.3">
      <c r="A46" s="180" t="str">
        <f>hth_expert&amp;" "&amp;13</f>
        <v>Expert 13</v>
      </c>
      <c r="B46" s="180">
        <v>6</v>
      </c>
      <c r="C46" s="180"/>
      <c r="D46" s="180">
        <v>2</v>
      </c>
      <c r="E46" s="180">
        <v>5</v>
      </c>
      <c r="F46" s="180">
        <v>5</v>
      </c>
      <c r="G46" s="180">
        <v>2</v>
      </c>
      <c r="H46" s="180">
        <v>4</v>
      </c>
      <c r="I46" s="180">
        <v>3</v>
      </c>
      <c r="J46" s="222" t="s">
        <v>346</v>
      </c>
      <c r="K46" s="222" t="s">
        <v>346</v>
      </c>
      <c r="L46" s="180"/>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row>
    <row r="47" spans="1:49" x14ac:dyDescent="0.25">
      <c r="A47" s="180" t="str">
        <f>hth_expert&amp;" "&amp;14</f>
        <v>Expert 14</v>
      </c>
      <c r="B47" s="180">
        <v>7</v>
      </c>
      <c r="C47" s="180"/>
      <c r="D47" s="180">
        <v>2</v>
      </c>
      <c r="E47" s="180">
        <v>5</v>
      </c>
      <c r="F47" s="180">
        <v>5</v>
      </c>
      <c r="G47" s="180">
        <v>2</v>
      </c>
      <c r="H47" s="180">
        <v>4</v>
      </c>
      <c r="I47" s="180">
        <v>3</v>
      </c>
      <c r="J47" s="222" t="s">
        <v>346</v>
      </c>
      <c r="K47" s="222" t="s">
        <v>346</v>
      </c>
      <c r="L47" s="180"/>
      <c r="M47" s="168"/>
      <c r="N47" s="854" t="s">
        <v>386</v>
      </c>
      <c r="O47" s="855"/>
      <c r="P47" s="855"/>
      <c r="Q47" s="856"/>
      <c r="R47" s="269">
        <v>1</v>
      </c>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row>
    <row r="48" spans="1:49" x14ac:dyDescent="0.25">
      <c r="A48" s="180" t="str">
        <f>hth_expert&amp;" "&amp;15</f>
        <v>Expert 15</v>
      </c>
      <c r="B48" s="180">
        <v>7</v>
      </c>
      <c r="C48" s="180"/>
      <c r="D48" s="180">
        <v>2</v>
      </c>
      <c r="E48" s="180">
        <v>5</v>
      </c>
      <c r="F48" s="180">
        <v>5</v>
      </c>
      <c r="G48" s="180">
        <v>2</v>
      </c>
      <c r="H48" s="180">
        <v>4</v>
      </c>
      <c r="I48" s="180">
        <v>3</v>
      </c>
      <c r="J48" s="222" t="s">
        <v>346</v>
      </c>
      <c r="K48" s="222" t="s">
        <v>346</v>
      </c>
      <c r="L48" s="180">
        <v>20</v>
      </c>
      <c r="M48" s="168"/>
      <c r="N48" s="225" t="s">
        <v>391</v>
      </c>
      <c r="O48" s="226" t="s">
        <v>102</v>
      </c>
      <c r="P48" s="226" t="s">
        <v>105</v>
      </c>
      <c r="Q48" s="226" t="s">
        <v>90</v>
      </c>
      <c r="R48" s="227" t="s">
        <v>392</v>
      </c>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row>
    <row r="49" spans="1:49" x14ac:dyDescent="0.25">
      <c r="A49" s="180" t="str">
        <f>hth_ma&amp;" "&amp;1</f>
        <v>Martial Arts 1</v>
      </c>
      <c r="B49" s="180">
        <v>4</v>
      </c>
      <c r="C49" s="180"/>
      <c r="D49" s="180"/>
      <c r="E49" s="180"/>
      <c r="F49" s="180"/>
      <c r="G49" s="180">
        <v>3</v>
      </c>
      <c r="H49" s="180">
        <v>3</v>
      </c>
      <c r="I49" s="180"/>
      <c r="J49" s="180">
        <v>20</v>
      </c>
      <c r="K49" s="180"/>
      <c r="L49" s="180"/>
      <c r="M49" s="168"/>
      <c r="N49" s="255" t="b">
        <f>IF(R47=1, TRUE, FALSE)</f>
        <v>1</v>
      </c>
      <c r="O49" s="254">
        <f>'Combat Sheet'!$D$33</f>
        <v>0</v>
      </c>
      <c r="P49" s="254">
        <f>'Combat Sheet'!$H$33</f>
        <v>0</v>
      </c>
      <c r="Q49" s="254">
        <f>'Combat Sheet'!$L$33</f>
        <v>0</v>
      </c>
      <c r="R49" s="251">
        <f>'Combat Sheet'!$Q$33</f>
        <v>0</v>
      </c>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row>
    <row r="50" spans="1:49" x14ac:dyDescent="0.25">
      <c r="A50" s="180" t="str">
        <f>hth_ma&amp;" "&amp;2</f>
        <v>Martial Arts 2</v>
      </c>
      <c r="B50" s="180">
        <v>4</v>
      </c>
      <c r="C50" s="180"/>
      <c r="D50" s="180">
        <v>2</v>
      </c>
      <c r="E50" s="180">
        <v>3</v>
      </c>
      <c r="F50" s="180">
        <v>3</v>
      </c>
      <c r="G50" s="180">
        <v>3</v>
      </c>
      <c r="H50" s="180">
        <v>3</v>
      </c>
      <c r="I50" s="180"/>
      <c r="J50" s="180">
        <v>20</v>
      </c>
      <c r="K50" s="180"/>
      <c r="L50" s="180"/>
      <c r="M50" s="168"/>
      <c r="N50" s="255" t="b">
        <f>IF(R47=2, TRUE, FALSE)</f>
        <v>0</v>
      </c>
      <c r="O50" s="254">
        <f>'Combat Sheet'!$D$38</f>
        <v>0</v>
      </c>
      <c r="P50" s="254">
        <f>'Combat Sheet'!$H$38</f>
        <v>0</v>
      </c>
      <c r="Q50" s="254">
        <f>'Combat Sheet'!$L$38</f>
        <v>0</v>
      </c>
      <c r="R50" s="251">
        <f>'Combat Sheet'!$Q$38</f>
        <v>0</v>
      </c>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row>
    <row r="51" spans="1:49" ht="15.75" thickBot="1" x14ac:dyDescent="0.3">
      <c r="A51" s="180" t="str">
        <f>hth_ma&amp;" "&amp;3</f>
        <v>Martial Arts 3</v>
      </c>
      <c r="B51" s="180">
        <v>4</v>
      </c>
      <c r="C51" s="180"/>
      <c r="D51" s="180">
        <v>2</v>
      </c>
      <c r="E51" s="180">
        <v>3</v>
      </c>
      <c r="F51" s="180">
        <v>3</v>
      </c>
      <c r="G51" s="180">
        <v>3</v>
      </c>
      <c r="H51" s="180">
        <v>3</v>
      </c>
      <c r="I51" s="180"/>
      <c r="J51" s="180">
        <v>20</v>
      </c>
      <c r="K51" s="180"/>
      <c r="L51" s="180"/>
      <c r="M51" s="168"/>
      <c r="N51" s="256" t="b">
        <f>IF(R47=3, TRUE, FALSE)</f>
        <v>0</v>
      </c>
      <c r="O51" s="257">
        <f>'Combat Sheet'!$D$39</f>
        <v>0</v>
      </c>
      <c r="P51" s="257">
        <f>'Combat Sheet'!$H$39</f>
        <v>0</v>
      </c>
      <c r="Q51" s="257">
        <f>'Combat Sheet'!$L$39</f>
        <v>0</v>
      </c>
      <c r="R51" s="252">
        <f>'Combat Sheet'!$Q$39</f>
        <v>0</v>
      </c>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row>
    <row r="52" spans="1:49" ht="15.75" thickBot="1" x14ac:dyDescent="0.3">
      <c r="A52" s="180" t="str">
        <f>hth_ma&amp;" "&amp;4</f>
        <v>Martial Arts 4</v>
      </c>
      <c r="B52" s="180">
        <v>5</v>
      </c>
      <c r="C52" s="180"/>
      <c r="D52" s="180">
        <v>2</v>
      </c>
      <c r="E52" s="180">
        <v>3</v>
      </c>
      <c r="F52" s="180">
        <v>3</v>
      </c>
      <c r="G52" s="180">
        <v>3</v>
      </c>
      <c r="H52" s="180">
        <v>3</v>
      </c>
      <c r="I52" s="180"/>
      <c r="J52" s="180">
        <v>20</v>
      </c>
      <c r="K52" s="180"/>
      <c r="L52" s="180"/>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row>
    <row r="53" spans="1:49" x14ac:dyDescent="0.25">
      <c r="A53" s="180" t="str">
        <f>hth_ma&amp;" "&amp;5</f>
        <v>Martial Arts 5</v>
      </c>
      <c r="B53" s="180">
        <v>5</v>
      </c>
      <c r="C53" s="180"/>
      <c r="D53" s="180">
        <v>2</v>
      </c>
      <c r="E53" s="180">
        <v>3</v>
      </c>
      <c r="F53" s="180">
        <v>3</v>
      </c>
      <c r="G53" s="180">
        <v>3</v>
      </c>
      <c r="H53" s="180">
        <v>3</v>
      </c>
      <c r="I53" s="180"/>
      <c r="J53" s="180">
        <v>20</v>
      </c>
      <c r="K53" s="180"/>
      <c r="L53" s="180"/>
      <c r="M53" s="168"/>
      <c r="N53" s="854" t="s">
        <v>387</v>
      </c>
      <c r="O53" s="855"/>
      <c r="P53" s="855"/>
      <c r="Q53" s="855"/>
      <c r="R53" s="856"/>
      <c r="S53" s="155" t="s">
        <v>280</v>
      </c>
      <c r="T53" s="267">
        <v>1</v>
      </c>
      <c r="U53" s="155" t="s">
        <v>388</v>
      </c>
      <c r="V53" s="268">
        <v>2</v>
      </c>
      <c r="W53" s="857" t="s">
        <v>191</v>
      </c>
      <c r="X53" s="85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row>
    <row r="54" spans="1:49" x14ac:dyDescent="0.25">
      <c r="A54" s="180" t="str">
        <f>hth_ma&amp;" "&amp;6</f>
        <v>Martial Arts 6</v>
      </c>
      <c r="B54" s="180">
        <v>5</v>
      </c>
      <c r="C54" s="180"/>
      <c r="D54" s="180">
        <v>2</v>
      </c>
      <c r="E54" s="180">
        <v>3</v>
      </c>
      <c r="F54" s="180">
        <v>3</v>
      </c>
      <c r="G54" s="180">
        <v>3</v>
      </c>
      <c r="H54" s="180">
        <v>3</v>
      </c>
      <c r="I54" s="180"/>
      <c r="J54" s="222" t="s">
        <v>346</v>
      </c>
      <c r="K54" s="180"/>
      <c r="L54" s="180"/>
      <c r="M54" s="168"/>
      <c r="N54" s="225" t="s">
        <v>280</v>
      </c>
      <c r="O54" s="226" t="s">
        <v>388</v>
      </c>
      <c r="P54" s="226" t="s">
        <v>102</v>
      </c>
      <c r="Q54" s="228" t="s">
        <v>289</v>
      </c>
      <c r="R54" s="226" t="s">
        <v>92</v>
      </c>
      <c r="S54" s="226" t="s">
        <v>93</v>
      </c>
      <c r="T54" s="226" t="s">
        <v>389</v>
      </c>
      <c r="U54" s="226" t="s">
        <v>390</v>
      </c>
      <c r="V54" s="229" t="s">
        <v>297</v>
      </c>
      <c r="W54" s="225" t="s">
        <v>92</v>
      </c>
      <c r="X54" s="227" t="s">
        <v>93</v>
      </c>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row>
    <row r="55" spans="1:49" x14ac:dyDescent="0.25">
      <c r="A55" s="180" t="str">
        <f>hth_ma&amp;" "&amp;7</f>
        <v>Martial Arts 7</v>
      </c>
      <c r="B55" s="180">
        <v>5</v>
      </c>
      <c r="C55" s="180"/>
      <c r="D55" s="180">
        <v>2</v>
      </c>
      <c r="E55" s="180">
        <v>3</v>
      </c>
      <c r="F55" s="180">
        <v>3</v>
      </c>
      <c r="G55" s="180">
        <v>3</v>
      </c>
      <c r="H55" s="180">
        <v>3</v>
      </c>
      <c r="I55" s="180"/>
      <c r="J55" s="222" t="s">
        <v>346</v>
      </c>
      <c r="K55" s="180"/>
      <c r="L55" s="180"/>
      <c r="M55" s="168"/>
      <c r="N55" s="258" t="b">
        <f>IF(T53=1, TRUE, FALSE)</f>
        <v>1</v>
      </c>
      <c r="O55" s="259" t="b">
        <f>IF(V53=1, TRUE, FALSE)</f>
        <v>0</v>
      </c>
      <c r="P55" s="260">
        <f>'Combat Sheet'!E43</f>
        <v>0</v>
      </c>
      <c r="Q55" s="260">
        <f>'Combat Sheet'!F44</f>
        <v>0</v>
      </c>
      <c r="R55" s="260">
        <f>'Combat Sheet'!Q43+'Combat Sheet'!Q44</f>
        <v>0</v>
      </c>
      <c r="S55" s="260">
        <f>'Combat Sheet'!R43+'Combat Sheet'!R44</f>
        <v>0</v>
      </c>
      <c r="T55" s="260">
        <f>'Combat Sheet'!I43</f>
        <v>0</v>
      </c>
      <c r="U55" s="260" t="str">
        <f>'Combat Sheet'!K43</f>
        <v>D6</v>
      </c>
      <c r="V55" s="261">
        <f>'Combat Sheet'!M43+'Combat Sheet'!S43+'Combat Sheet'!S44</f>
        <v>0</v>
      </c>
      <c r="W55" s="258">
        <f>_xlfn.IFNA(VLOOKUP(Q55, true_wp, 6, FALSE), 0)</f>
        <v>0</v>
      </c>
      <c r="X55" s="262">
        <f>_xlfn.IFNA(VLOOKUP(Q55, true_wp, 10, FALSE), 0)</f>
        <v>0</v>
      </c>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row>
    <row r="56" spans="1:49" x14ac:dyDescent="0.25">
      <c r="A56" s="180" t="str">
        <f>hth_ma&amp;" "&amp;8</f>
        <v>Martial Arts 8</v>
      </c>
      <c r="B56" s="180">
        <v>5</v>
      </c>
      <c r="C56" s="180"/>
      <c r="D56" s="180">
        <v>2</v>
      </c>
      <c r="E56" s="180">
        <v>3</v>
      </c>
      <c r="F56" s="180">
        <v>3</v>
      </c>
      <c r="G56" s="180">
        <v>3</v>
      </c>
      <c r="H56" s="180">
        <v>3</v>
      </c>
      <c r="I56" s="180"/>
      <c r="J56" s="222" t="s">
        <v>346</v>
      </c>
      <c r="K56" s="180"/>
      <c r="L56" s="180"/>
      <c r="M56" s="168"/>
      <c r="N56" s="258" t="b">
        <f>IF(T53=2, TRUE, FALSE)</f>
        <v>0</v>
      </c>
      <c r="O56" s="260" t="b">
        <f>IF(V53=2, TRUE, FALSE)</f>
        <v>1</v>
      </c>
      <c r="P56" s="260">
        <f>'Combat Sheet'!E48</f>
        <v>0</v>
      </c>
      <c r="Q56" s="260">
        <f>'Combat Sheet'!F49</f>
        <v>0</v>
      </c>
      <c r="R56" s="260">
        <f>'Combat Sheet'!Q48+'Combat Sheet'!Q49</f>
        <v>0</v>
      </c>
      <c r="S56" s="260">
        <f>'Combat Sheet'!R48+'Combat Sheet'!R49</f>
        <v>0</v>
      </c>
      <c r="T56" s="260">
        <f>'Combat Sheet'!I48</f>
        <v>0</v>
      </c>
      <c r="U56" s="260" t="str">
        <f>'Combat Sheet'!K48</f>
        <v>D6</v>
      </c>
      <c r="V56" s="261">
        <f>'Combat Sheet'!M48+'Combat Sheet'!S48+'Combat Sheet'!S49</f>
        <v>0</v>
      </c>
      <c r="W56" s="258">
        <f>_xlfn.IFNA(VLOOKUP(Q56, true_wp, 6, FALSE), 0)</f>
        <v>0</v>
      </c>
      <c r="X56" s="262">
        <f>_xlfn.IFNA(VLOOKUP(Q56, true_wp, 10, FALSE), 0)</f>
        <v>0</v>
      </c>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row>
    <row r="57" spans="1:49" x14ac:dyDescent="0.25">
      <c r="A57" s="180" t="str">
        <f>hth_ma&amp;" "&amp;9</f>
        <v>Martial Arts 9</v>
      </c>
      <c r="B57" s="180">
        <v>6</v>
      </c>
      <c r="C57" s="180"/>
      <c r="D57" s="180">
        <v>2</v>
      </c>
      <c r="E57" s="180">
        <v>3</v>
      </c>
      <c r="F57" s="180">
        <v>3</v>
      </c>
      <c r="G57" s="180">
        <v>3</v>
      </c>
      <c r="H57" s="180">
        <v>3</v>
      </c>
      <c r="I57" s="180"/>
      <c r="J57" s="222" t="s">
        <v>346</v>
      </c>
      <c r="K57" s="180"/>
      <c r="L57" s="180"/>
      <c r="M57" s="168"/>
      <c r="N57" s="258" t="b">
        <f>IF(T53=3, TRUE, FALSE)</f>
        <v>0</v>
      </c>
      <c r="O57" s="260" t="b">
        <f>IF(V53=3, TRUE, FALSE)</f>
        <v>0</v>
      </c>
      <c r="P57" s="260">
        <f>'Combat Sheet'!E53</f>
        <v>0</v>
      </c>
      <c r="Q57" s="260">
        <f>'Combat Sheet'!F54</f>
        <v>0</v>
      </c>
      <c r="R57" s="260">
        <f>'Combat Sheet'!Q53+'Combat Sheet'!Q54</f>
        <v>0</v>
      </c>
      <c r="S57" s="260">
        <f>'Combat Sheet'!R53+'Combat Sheet'!R54</f>
        <v>0</v>
      </c>
      <c r="T57" s="260">
        <f>'Combat Sheet'!I53</f>
        <v>0</v>
      </c>
      <c r="U57" s="260" t="str">
        <f>'Combat Sheet'!K53</f>
        <v>D6</v>
      </c>
      <c r="V57" s="261">
        <f>'Combat Sheet'!M53+'Combat Sheet'!S53+'Combat Sheet'!S54</f>
        <v>0</v>
      </c>
      <c r="W57" s="258">
        <f>_xlfn.IFNA(VLOOKUP(Q57, true_wp, 6, FALSE), 0)</f>
        <v>0</v>
      </c>
      <c r="X57" s="262">
        <f>_xlfn.IFNA(VLOOKUP(Q57, true_wp, 10, FALSE), 0)</f>
        <v>0</v>
      </c>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row>
    <row r="58" spans="1:49" x14ac:dyDescent="0.25">
      <c r="A58" s="180" t="str">
        <f>hth_ma&amp;" "&amp;10</f>
        <v>Martial Arts 10</v>
      </c>
      <c r="B58" s="180">
        <v>6</v>
      </c>
      <c r="C58" s="180">
        <v>1</v>
      </c>
      <c r="D58" s="180">
        <v>2</v>
      </c>
      <c r="E58" s="180">
        <v>3</v>
      </c>
      <c r="F58" s="180">
        <v>3</v>
      </c>
      <c r="G58" s="180">
        <v>3</v>
      </c>
      <c r="H58" s="180">
        <v>3</v>
      </c>
      <c r="I58" s="180"/>
      <c r="J58" s="222" t="s">
        <v>346</v>
      </c>
      <c r="K58" s="180"/>
      <c r="L58" s="180"/>
      <c r="M58" s="168"/>
      <c r="N58" s="258" t="b">
        <f>IF(T53=4, TRUE, FALSE)</f>
        <v>0</v>
      </c>
      <c r="O58" s="260" t="b">
        <f>IF(V53=4, TRUE, FALSE)</f>
        <v>0</v>
      </c>
      <c r="P58" s="260">
        <f>'Combat Sheet'!E55</f>
        <v>0</v>
      </c>
      <c r="Q58" s="260">
        <f>'Combat Sheet'!F56</f>
        <v>0</v>
      </c>
      <c r="R58" s="260">
        <f>'Combat Sheet'!Q55+'Combat Sheet'!Q56</f>
        <v>0</v>
      </c>
      <c r="S58" s="260">
        <f>'Combat Sheet'!R55+'Combat Sheet'!R56</f>
        <v>0</v>
      </c>
      <c r="T58" s="260">
        <f>'Combat Sheet'!I55</f>
        <v>0</v>
      </c>
      <c r="U58" s="260" t="str">
        <f>'Combat Sheet'!K55</f>
        <v>D6</v>
      </c>
      <c r="V58" s="261">
        <f>'Combat Sheet'!M55+'Combat Sheet'!T55+'Combat Sheet'!T56</f>
        <v>0</v>
      </c>
      <c r="W58" s="258">
        <f>_xlfn.IFNA(VLOOKUP(Q58, true_wp, 6, FALSE), 0)</f>
        <v>0</v>
      </c>
      <c r="X58" s="262">
        <f>_xlfn.IFNA(VLOOKUP(Q58, true_wp, 10, FALSE), 0)</f>
        <v>0</v>
      </c>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row>
    <row r="59" spans="1:49" ht="15.75" thickBot="1" x14ac:dyDescent="0.3">
      <c r="A59" s="180" t="str">
        <f>hth_ma&amp;" "&amp;11</f>
        <v>Martial Arts 11</v>
      </c>
      <c r="B59" s="180">
        <v>6</v>
      </c>
      <c r="C59" s="180">
        <v>1</v>
      </c>
      <c r="D59" s="180">
        <v>2</v>
      </c>
      <c r="E59" s="180">
        <v>3</v>
      </c>
      <c r="F59" s="180">
        <v>3</v>
      </c>
      <c r="G59" s="180">
        <v>3</v>
      </c>
      <c r="H59" s="180">
        <v>3</v>
      </c>
      <c r="I59" s="180">
        <v>4</v>
      </c>
      <c r="J59" s="222" t="s">
        <v>346</v>
      </c>
      <c r="K59" s="180"/>
      <c r="L59" s="180"/>
      <c r="M59" s="168"/>
      <c r="N59" s="263" t="b">
        <f>IF(T53=5, TRUE, FALSE)</f>
        <v>0</v>
      </c>
      <c r="O59" s="264" t="b">
        <f>IF(V53=5, TRUE, FALSE)</f>
        <v>0</v>
      </c>
      <c r="P59" s="264">
        <f>'Combat Sheet'!E57</f>
        <v>0</v>
      </c>
      <c r="Q59" s="264">
        <f>'Combat Sheet'!F58</f>
        <v>0</v>
      </c>
      <c r="R59" s="264">
        <f>'Combat Sheet'!Q57+'Combat Sheet'!Q58</f>
        <v>0</v>
      </c>
      <c r="S59" s="264">
        <f>'Combat Sheet'!R57+'Combat Sheet'!R58</f>
        <v>0</v>
      </c>
      <c r="T59" s="264">
        <f>'Combat Sheet'!I57</f>
        <v>0</v>
      </c>
      <c r="U59" s="264" t="str">
        <f>'Combat Sheet'!K57</f>
        <v>D6</v>
      </c>
      <c r="V59" s="265">
        <f>'Combat Sheet'!M57+'Combat Sheet'!T57+'Combat Sheet'!T58</f>
        <v>0</v>
      </c>
      <c r="W59" s="263">
        <f>_xlfn.IFNA(VLOOKUP(Q59, true_wp, 6, FALSE), 0)</f>
        <v>0</v>
      </c>
      <c r="X59" s="266">
        <f>_xlfn.IFNA(VLOOKUP(Q59, true_wp, 10, FALSE), 0)</f>
        <v>0</v>
      </c>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row>
    <row r="60" spans="1:49" x14ac:dyDescent="0.25">
      <c r="A60" s="180" t="str">
        <f>hth_ma&amp;" "&amp;12</f>
        <v>Martial Arts 12</v>
      </c>
      <c r="B60" s="180">
        <v>6</v>
      </c>
      <c r="C60" s="180">
        <v>1</v>
      </c>
      <c r="D60" s="180">
        <v>2</v>
      </c>
      <c r="E60" s="180">
        <v>5</v>
      </c>
      <c r="F60" s="180">
        <v>5</v>
      </c>
      <c r="G60" s="180">
        <v>3</v>
      </c>
      <c r="H60" s="180">
        <v>3</v>
      </c>
      <c r="I60" s="180">
        <v>4</v>
      </c>
      <c r="J60" s="222" t="s">
        <v>346</v>
      </c>
      <c r="K60" s="180"/>
      <c r="L60" s="180"/>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row>
    <row r="61" spans="1:49" x14ac:dyDescent="0.25">
      <c r="A61" s="180" t="str">
        <f>hth_ma&amp;" "&amp;13</f>
        <v>Martial Arts 13</v>
      </c>
      <c r="B61" s="180">
        <v>6</v>
      </c>
      <c r="C61" s="180">
        <v>1</v>
      </c>
      <c r="D61" s="180">
        <v>2</v>
      </c>
      <c r="E61" s="180">
        <v>5</v>
      </c>
      <c r="F61" s="180">
        <v>5</v>
      </c>
      <c r="G61" s="180">
        <v>3</v>
      </c>
      <c r="H61" s="180">
        <v>3</v>
      </c>
      <c r="I61" s="180">
        <v>4</v>
      </c>
      <c r="J61" s="222" t="s">
        <v>346</v>
      </c>
      <c r="K61" s="222" t="s">
        <v>346</v>
      </c>
      <c r="L61" s="180"/>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row>
    <row r="62" spans="1:49" x14ac:dyDescent="0.25">
      <c r="A62" s="180" t="str">
        <f>hth_ma&amp;" "&amp;14</f>
        <v>Martial Arts 14</v>
      </c>
      <c r="B62" s="180">
        <v>7</v>
      </c>
      <c r="C62" s="180">
        <v>1</v>
      </c>
      <c r="D62" s="180">
        <v>2</v>
      </c>
      <c r="E62" s="180">
        <v>5</v>
      </c>
      <c r="F62" s="180">
        <v>5</v>
      </c>
      <c r="G62" s="180">
        <v>3</v>
      </c>
      <c r="H62" s="180">
        <v>3</v>
      </c>
      <c r="I62" s="180">
        <v>4</v>
      </c>
      <c r="J62" s="222" t="s">
        <v>346</v>
      </c>
      <c r="K62" s="222" t="s">
        <v>346</v>
      </c>
      <c r="L62" s="180"/>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row>
    <row r="63" spans="1:49" x14ac:dyDescent="0.25">
      <c r="A63" s="180" t="str">
        <f>hth_ma&amp;" "&amp;15</f>
        <v>Martial Arts 15</v>
      </c>
      <c r="B63" s="180">
        <v>7</v>
      </c>
      <c r="C63" s="180">
        <v>1</v>
      </c>
      <c r="D63" s="180">
        <v>2</v>
      </c>
      <c r="E63" s="180">
        <v>5</v>
      </c>
      <c r="F63" s="180">
        <v>5</v>
      </c>
      <c r="G63" s="180">
        <v>3</v>
      </c>
      <c r="H63" s="180">
        <v>3</v>
      </c>
      <c r="I63" s="180">
        <v>4</v>
      </c>
      <c r="J63" s="222" t="s">
        <v>346</v>
      </c>
      <c r="K63" s="222" t="s">
        <v>346</v>
      </c>
      <c r="L63" s="180">
        <v>20</v>
      </c>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row>
    <row r="64" spans="1:49" x14ac:dyDescent="0.25">
      <c r="A64" s="180" t="str">
        <f>hth_assassin&amp;" "&amp;1</f>
        <v>Assassin 1</v>
      </c>
      <c r="B64" s="180">
        <v>3</v>
      </c>
      <c r="C64" s="180"/>
      <c r="D64" s="180">
        <v>2</v>
      </c>
      <c r="E64" s="180"/>
      <c r="F64" s="180"/>
      <c r="G64" s="180"/>
      <c r="H64" s="180"/>
      <c r="I64" s="180"/>
      <c r="J64" s="180">
        <v>20</v>
      </c>
      <c r="K64" s="180"/>
      <c r="L64" s="180"/>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row>
    <row r="65" spans="1:49" x14ac:dyDescent="0.25">
      <c r="A65" s="180" t="str">
        <f>hth_assassin&amp;" "&amp;2</f>
        <v>Assassin 2</v>
      </c>
      <c r="B65" s="180">
        <v>5</v>
      </c>
      <c r="C65" s="180"/>
      <c r="D65" s="180">
        <v>2</v>
      </c>
      <c r="E65" s="180"/>
      <c r="F65" s="180"/>
      <c r="G65" s="180"/>
      <c r="H65" s="180"/>
      <c r="I65" s="180"/>
      <c r="J65" s="180">
        <v>20</v>
      </c>
      <c r="K65" s="180"/>
      <c r="L65" s="180"/>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row>
    <row r="66" spans="1:49" x14ac:dyDescent="0.25">
      <c r="A66" s="180" t="str">
        <f>hth_assassin&amp;" "&amp;3</f>
        <v>Assassin 3</v>
      </c>
      <c r="B66" s="180">
        <v>5</v>
      </c>
      <c r="C66" s="180"/>
      <c r="D66" s="180">
        <v>2</v>
      </c>
      <c r="E66" s="180"/>
      <c r="F66" s="180"/>
      <c r="G66" s="180">
        <v>3</v>
      </c>
      <c r="H66" s="180">
        <v>3</v>
      </c>
      <c r="I66" s="180"/>
      <c r="J66" s="180">
        <v>20</v>
      </c>
      <c r="K66" s="180"/>
      <c r="L66" s="180"/>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row>
    <row r="67" spans="1:49" x14ac:dyDescent="0.25">
      <c r="A67" s="180" t="str">
        <f>hth_assassin&amp;" "&amp;4</f>
        <v>Assassin 4</v>
      </c>
      <c r="B67" s="180">
        <v>5</v>
      </c>
      <c r="C67" s="180"/>
      <c r="D67" s="180">
        <v>2</v>
      </c>
      <c r="E67" s="180"/>
      <c r="F67" s="180"/>
      <c r="G67" s="180">
        <v>3</v>
      </c>
      <c r="H67" s="180">
        <v>3</v>
      </c>
      <c r="I67" s="180">
        <v>4</v>
      </c>
      <c r="J67" s="180">
        <v>20</v>
      </c>
      <c r="K67" s="180"/>
      <c r="L67" s="180"/>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row>
    <row r="68" spans="1:49" x14ac:dyDescent="0.25">
      <c r="A68" s="180" t="str">
        <f>hth_assassin&amp;" "&amp;5</f>
        <v>Assassin 5</v>
      </c>
      <c r="B68" s="180">
        <v>6</v>
      </c>
      <c r="C68" s="180"/>
      <c r="D68" s="180">
        <v>2</v>
      </c>
      <c r="E68" s="180"/>
      <c r="F68" s="180"/>
      <c r="G68" s="180">
        <v>3</v>
      </c>
      <c r="H68" s="180">
        <v>3</v>
      </c>
      <c r="I68" s="180">
        <v>4</v>
      </c>
      <c r="J68" s="180">
        <v>20</v>
      </c>
      <c r="K68" s="180"/>
      <c r="L68" s="180"/>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row>
    <row r="69" spans="1:49" x14ac:dyDescent="0.25">
      <c r="A69" s="180" t="str">
        <f>hth_assassin&amp;" "&amp;6</f>
        <v>Assassin 6</v>
      </c>
      <c r="B69" s="180">
        <v>6</v>
      </c>
      <c r="C69" s="180"/>
      <c r="D69" s="180">
        <v>2</v>
      </c>
      <c r="E69" s="180">
        <v>3</v>
      </c>
      <c r="F69" s="180">
        <v>3</v>
      </c>
      <c r="G69" s="180">
        <v>3</v>
      </c>
      <c r="H69" s="180">
        <v>3</v>
      </c>
      <c r="I69" s="180">
        <v>4</v>
      </c>
      <c r="J69" s="180">
        <v>20</v>
      </c>
      <c r="K69" s="180"/>
      <c r="L69" s="180"/>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row>
    <row r="70" spans="1:49" x14ac:dyDescent="0.25">
      <c r="A70" s="180" t="str">
        <f>hth_assassin&amp;" "&amp;7</f>
        <v>Assassin 7</v>
      </c>
      <c r="B70" s="180">
        <v>6</v>
      </c>
      <c r="C70" s="180"/>
      <c r="D70" s="180">
        <v>2</v>
      </c>
      <c r="E70" s="180">
        <v>3</v>
      </c>
      <c r="F70" s="180">
        <v>3</v>
      </c>
      <c r="G70" s="180">
        <v>3</v>
      </c>
      <c r="H70" s="180">
        <v>3</v>
      </c>
      <c r="I70" s="180">
        <v>4</v>
      </c>
      <c r="J70" s="180">
        <v>20</v>
      </c>
      <c r="K70" s="222" t="s">
        <v>354</v>
      </c>
      <c r="L70" s="180"/>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row>
    <row r="71" spans="1:49" x14ac:dyDescent="0.25">
      <c r="A71" s="180" t="str">
        <f>hth_assassin&amp;" "&amp;8</f>
        <v>Assassin 8</v>
      </c>
      <c r="B71" s="180">
        <v>7</v>
      </c>
      <c r="C71" s="180"/>
      <c r="D71" s="180">
        <v>2</v>
      </c>
      <c r="E71" s="180">
        <v>3</v>
      </c>
      <c r="F71" s="180">
        <v>3</v>
      </c>
      <c r="G71" s="180">
        <v>3</v>
      </c>
      <c r="H71" s="180">
        <v>3</v>
      </c>
      <c r="I71" s="180">
        <v>4</v>
      </c>
      <c r="J71" s="180">
        <v>20</v>
      </c>
      <c r="K71" s="222" t="s">
        <v>354</v>
      </c>
      <c r="L71" s="180"/>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row>
    <row r="72" spans="1:49" x14ac:dyDescent="0.25">
      <c r="A72" s="180" t="str">
        <f>hth_assassin&amp;" "&amp;9</f>
        <v>Assassin 9</v>
      </c>
      <c r="B72" s="180">
        <v>7</v>
      </c>
      <c r="C72" s="180"/>
      <c r="D72" s="180">
        <v>2</v>
      </c>
      <c r="E72" s="180">
        <v>3</v>
      </c>
      <c r="F72" s="180">
        <v>3</v>
      </c>
      <c r="G72" s="180">
        <v>3</v>
      </c>
      <c r="H72" s="180">
        <v>3</v>
      </c>
      <c r="I72" s="180">
        <v>4</v>
      </c>
      <c r="J72" s="180">
        <v>20</v>
      </c>
      <c r="K72" s="222" t="s">
        <v>354</v>
      </c>
      <c r="L72" s="180"/>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row>
    <row r="73" spans="1:49" x14ac:dyDescent="0.25">
      <c r="A73" s="180" t="str">
        <f>hth_assassin&amp;" "&amp;10</f>
        <v>Assassin 10</v>
      </c>
      <c r="B73" s="180">
        <v>7</v>
      </c>
      <c r="C73" s="180"/>
      <c r="D73" s="180">
        <v>2</v>
      </c>
      <c r="E73" s="180">
        <v>3</v>
      </c>
      <c r="F73" s="180">
        <v>3</v>
      </c>
      <c r="G73" s="180">
        <v>3</v>
      </c>
      <c r="H73" s="180">
        <v>3</v>
      </c>
      <c r="I73" s="180">
        <v>4</v>
      </c>
      <c r="J73" s="222" t="s">
        <v>330</v>
      </c>
      <c r="K73" s="222" t="s">
        <v>354</v>
      </c>
      <c r="L73" s="180"/>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row>
    <row r="74" spans="1:49" x14ac:dyDescent="0.25">
      <c r="A74" s="180" t="str">
        <f>hth_assassin&amp;" "&amp;11</f>
        <v>Assassin 11</v>
      </c>
      <c r="B74" s="180">
        <v>7</v>
      </c>
      <c r="C74" s="180"/>
      <c r="D74" s="180">
        <v>4</v>
      </c>
      <c r="E74" s="180">
        <v>3</v>
      </c>
      <c r="F74" s="180">
        <v>3</v>
      </c>
      <c r="G74" s="180">
        <v>3</v>
      </c>
      <c r="H74" s="180">
        <v>3</v>
      </c>
      <c r="I74" s="180">
        <v>4</v>
      </c>
      <c r="J74" s="222" t="s">
        <v>330</v>
      </c>
      <c r="K74" s="222" t="s">
        <v>354</v>
      </c>
      <c r="L74" s="180"/>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row>
    <row r="75" spans="1:49" x14ac:dyDescent="0.25">
      <c r="A75" s="180" t="str">
        <f>hth_assassin&amp;" "&amp;12</f>
        <v>Assassin 12</v>
      </c>
      <c r="B75" s="180">
        <v>7</v>
      </c>
      <c r="C75" s="180"/>
      <c r="D75" s="180">
        <v>4</v>
      </c>
      <c r="E75" s="180">
        <v>3</v>
      </c>
      <c r="F75" s="180">
        <v>3</v>
      </c>
      <c r="G75" s="180">
        <v>3</v>
      </c>
      <c r="H75" s="180">
        <v>3</v>
      </c>
      <c r="I75" s="180">
        <v>4</v>
      </c>
      <c r="J75" s="222" t="s">
        <v>330</v>
      </c>
      <c r="K75" s="222" t="s">
        <v>354</v>
      </c>
      <c r="L75" s="180">
        <v>20</v>
      </c>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row>
    <row r="76" spans="1:49" x14ac:dyDescent="0.25">
      <c r="A76" s="180" t="str">
        <f>hth_assassin&amp;" "&amp;13</f>
        <v>Assassin 13</v>
      </c>
      <c r="B76" s="180">
        <v>8</v>
      </c>
      <c r="C76" s="180"/>
      <c r="D76" s="180">
        <v>4</v>
      </c>
      <c r="E76" s="180">
        <v>3</v>
      </c>
      <c r="F76" s="180">
        <v>3</v>
      </c>
      <c r="G76" s="180">
        <v>3</v>
      </c>
      <c r="H76" s="180">
        <v>3</v>
      </c>
      <c r="I76" s="180">
        <v>4</v>
      </c>
      <c r="J76" s="222" t="s">
        <v>330</v>
      </c>
      <c r="K76" s="222" t="s">
        <v>354</v>
      </c>
      <c r="L76" s="180">
        <v>20</v>
      </c>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row>
    <row r="77" spans="1:49" x14ac:dyDescent="0.25">
      <c r="A77" s="180" t="str">
        <f>hth_assassin&amp;" "&amp;14</f>
        <v>Assassin 14</v>
      </c>
      <c r="B77" s="180">
        <v>8</v>
      </c>
      <c r="C77" s="180"/>
      <c r="D77" s="180">
        <v>4</v>
      </c>
      <c r="E77" s="180">
        <v>3</v>
      </c>
      <c r="F77" s="180">
        <v>3</v>
      </c>
      <c r="G77" s="180">
        <v>3</v>
      </c>
      <c r="H77" s="180">
        <v>3</v>
      </c>
      <c r="I77" s="180">
        <v>6</v>
      </c>
      <c r="J77" s="222" t="s">
        <v>330</v>
      </c>
      <c r="K77" s="222" t="s">
        <v>354</v>
      </c>
      <c r="L77" s="180">
        <v>20</v>
      </c>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row>
    <row r="78" spans="1:49" x14ac:dyDescent="0.25">
      <c r="A78" s="180" t="str">
        <f>hth_assassin&amp;" "&amp;15</f>
        <v>Assassin 15</v>
      </c>
      <c r="B78" s="180">
        <v>8</v>
      </c>
      <c r="C78" s="180"/>
      <c r="D78" s="180">
        <v>6</v>
      </c>
      <c r="E78" s="180">
        <v>3</v>
      </c>
      <c r="F78" s="180">
        <v>3</v>
      </c>
      <c r="G78" s="180">
        <v>3</v>
      </c>
      <c r="H78" s="180">
        <v>3</v>
      </c>
      <c r="I78" s="180">
        <v>6</v>
      </c>
      <c r="J78" s="222" t="s">
        <v>330</v>
      </c>
      <c r="K78" s="222" t="s">
        <v>354</v>
      </c>
      <c r="L78" s="180">
        <v>20</v>
      </c>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row>
    <row r="79" spans="1:49" x14ac:dyDescent="0.25">
      <c r="A79" s="168"/>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row>
    <row r="80" spans="1:49" x14ac:dyDescent="0.25">
      <c r="A80" s="168" t="s">
        <v>355</v>
      </c>
      <c r="B80" s="168" t="s">
        <v>309</v>
      </c>
      <c r="C80" s="168" t="s">
        <v>356</v>
      </c>
      <c r="D80" s="168" t="s">
        <v>357</v>
      </c>
      <c r="E80" s="168" t="s">
        <v>358</v>
      </c>
      <c r="F80" s="168" t="s">
        <v>316</v>
      </c>
      <c r="G80" s="168" t="s">
        <v>359</v>
      </c>
      <c r="H80" s="168" t="s">
        <v>360</v>
      </c>
      <c r="I80" s="168" t="s">
        <v>361</v>
      </c>
      <c r="J80" s="230" t="s">
        <v>362</v>
      </c>
      <c r="K80" s="231" t="s">
        <v>363</v>
      </c>
      <c r="L80" s="168" t="s">
        <v>364</v>
      </c>
      <c r="M80" s="168" t="s">
        <v>365</v>
      </c>
      <c r="N80" s="168" t="s">
        <v>366</v>
      </c>
      <c r="O80" s="168" t="s">
        <v>367</v>
      </c>
      <c r="P80" s="168" t="s">
        <v>368</v>
      </c>
      <c r="Q80" s="168" t="s">
        <v>369</v>
      </c>
      <c r="R80" s="168" t="s">
        <v>370</v>
      </c>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row>
    <row r="81" spans="1:49" x14ac:dyDescent="0.25">
      <c r="A81" s="168"/>
      <c r="B81" s="168"/>
      <c r="C81" s="168"/>
      <c r="D81" s="168"/>
      <c r="E81" s="168"/>
      <c r="F81" s="168"/>
      <c r="G81" s="168"/>
      <c r="H81" s="168"/>
      <c r="I81" s="168"/>
      <c r="J81" s="231"/>
      <c r="K81" s="231"/>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row>
    <row r="82" spans="1:49" x14ac:dyDescent="0.25">
      <c r="A82" s="164" t="s">
        <v>371</v>
      </c>
      <c r="B82" s="164" t="s">
        <v>92</v>
      </c>
      <c r="C82" s="164" t="s">
        <v>93</v>
      </c>
      <c r="D82" s="164" t="s">
        <v>372</v>
      </c>
      <c r="E82" s="164" t="s">
        <v>266</v>
      </c>
      <c r="F82" s="164" t="s">
        <v>103</v>
      </c>
      <c r="G82" s="164" t="s">
        <v>196</v>
      </c>
      <c r="H82" s="164" t="s">
        <v>373</v>
      </c>
      <c r="I82" s="168"/>
      <c r="J82" s="231"/>
      <c r="K82" s="231"/>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row>
    <row r="83" spans="1:49" x14ac:dyDescent="0.25">
      <c r="A83" s="180" t="str">
        <f>wp_archery&amp;" "&amp;1</f>
        <v>Archery 1</v>
      </c>
      <c r="B83" s="180"/>
      <c r="C83" s="180">
        <v>1</v>
      </c>
      <c r="D83" s="180"/>
      <c r="E83" s="180"/>
      <c r="F83" s="180"/>
      <c r="G83" s="180">
        <v>20</v>
      </c>
      <c r="H83" s="180">
        <v>2</v>
      </c>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row>
    <row r="84" spans="1:49" x14ac:dyDescent="0.25">
      <c r="A84" s="180" t="str">
        <f>wp_archery&amp;" "&amp;2</f>
        <v>Archery 2</v>
      </c>
      <c r="B84" s="180">
        <v>1</v>
      </c>
      <c r="C84" s="180">
        <v>1</v>
      </c>
      <c r="D84" s="180"/>
      <c r="E84" s="180"/>
      <c r="F84" s="180"/>
      <c r="G84" s="180">
        <v>40</v>
      </c>
      <c r="H84" s="180">
        <v>3</v>
      </c>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row>
    <row r="85" spans="1:49" x14ac:dyDescent="0.25">
      <c r="A85" s="180" t="str">
        <f>wp_archery&amp;" "&amp;3</f>
        <v>Archery 3</v>
      </c>
      <c r="B85" s="180">
        <v>1</v>
      </c>
      <c r="C85" s="180">
        <v>1</v>
      </c>
      <c r="D85" s="180"/>
      <c r="E85" s="180"/>
      <c r="F85" s="180"/>
      <c r="G85" s="180">
        <v>60</v>
      </c>
      <c r="H85" s="180">
        <v>4</v>
      </c>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row>
    <row r="86" spans="1:49" x14ac:dyDescent="0.25">
      <c r="A86" s="180" t="str">
        <f>wp_archery&amp;" "&amp;4</f>
        <v>Archery 4</v>
      </c>
      <c r="B86" s="180">
        <v>2</v>
      </c>
      <c r="C86" s="180">
        <v>1</v>
      </c>
      <c r="D86" s="180"/>
      <c r="E86" s="180"/>
      <c r="F86" s="180"/>
      <c r="G86" s="180">
        <v>80</v>
      </c>
      <c r="H86" s="180">
        <v>4</v>
      </c>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row>
    <row r="87" spans="1:49" x14ac:dyDescent="0.25">
      <c r="A87" s="180" t="str">
        <f>wp_archery&amp;" "&amp;5</f>
        <v>Archery 5</v>
      </c>
      <c r="B87" s="180">
        <v>2</v>
      </c>
      <c r="C87" s="180">
        <v>1</v>
      </c>
      <c r="D87" s="180"/>
      <c r="E87" s="180"/>
      <c r="F87" s="180"/>
      <c r="G87" s="180">
        <v>100</v>
      </c>
      <c r="H87" s="180">
        <v>5</v>
      </c>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row>
    <row r="88" spans="1:49" x14ac:dyDescent="0.25">
      <c r="A88" s="180" t="str">
        <f>wp_archery&amp;" "&amp;6</f>
        <v>Archery 6</v>
      </c>
      <c r="B88" s="180">
        <v>3</v>
      </c>
      <c r="C88" s="180">
        <v>1</v>
      </c>
      <c r="D88" s="180"/>
      <c r="E88" s="180"/>
      <c r="F88" s="180"/>
      <c r="G88" s="180">
        <v>120</v>
      </c>
      <c r="H88" s="180">
        <v>5</v>
      </c>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row>
    <row r="89" spans="1:49" x14ac:dyDescent="0.25">
      <c r="A89" s="180" t="str">
        <f>wp_archery&amp;" "&amp;7</f>
        <v>Archery 7</v>
      </c>
      <c r="B89" s="180">
        <v>3</v>
      </c>
      <c r="C89" s="180">
        <v>1</v>
      </c>
      <c r="D89" s="180"/>
      <c r="E89" s="180"/>
      <c r="F89" s="180"/>
      <c r="G89" s="180">
        <v>140</v>
      </c>
      <c r="H89" s="180">
        <v>6</v>
      </c>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row>
    <row r="90" spans="1:49" x14ac:dyDescent="0.25">
      <c r="A90" s="180" t="str">
        <f>wp_archery&amp;" "&amp;8</f>
        <v>Archery 8</v>
      </c>
      <c r="B90" s="180">
        <v>4</v>
      </c>
      <c r="C90" s="180">
        <v>1</v>
      </c>
      <c r="D90" s="180"/>
      <c r="E90" s="180"/>
      <c r="F90" s="180"/>
      <c r="G90" s="180">
        <v>160</v>
      </c>
      <c r="H90" s="180">
        <v>6</v>
      </c>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row>
    <row r="91" spans="1:49" x14ac:dyDescent="0.25">
      <c r="A91" s="180" t="str">
        <f>wp_archery&amp;" "&amp;9</f>
        <v>Archery 9</v>
      </c>
      <c r="B91" s="180">
        <v>4</v>
      </c>
      <c r="C91" s="180">
        <v>1</v>
      </c>
      <c r="D91" s="180"/>
      <c r="E91" s="180"/>
      <c r="F91" s="180"/>
      <c r="G91" s="180">
        <v>180</v>
      </c>
      <c r="H91" s="180">
        <v>7</v>
      </c>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row>
    <row r="92" spans="1:49" x14ac:dyDescent="0.25">
      <c r="A92" s="180" t="str">
        <f>wp_archery&amp;" "&amp;10</f>
        <v>Archery 10</v>
      </c>
      <c r="B92" s="180">
        <v>4</v>
      </c>
      <c r="C92" s="180">
        <v>1</v>
      </c>
      <c r="D92" s="180"/>
      <c r="E92" s="180"/>
      <c r="F92" s="180"/>
      <c r="G92" s="180">
        <v>200</v>
      </c>
      <c r="H92" s="180">
        <v>7</v>
      </c>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row>
    <row r="93" spans="1:49" x14ac:dyDescent="0.25">
      <c r="A93" s="180" t="str">
        <f>wp_archery&amp;" "&amp;11</f>
        <v>Archery 11</v>
      </c>
      <c r="B93" s="180">
        <v>5</v>
      </c>
      <c r="C93" s="180">
        <v>1</v>
      </c>
      <c r="D93" s="180"/>
      <c r="E93" s="180"/>
      <c r="F93" s="180"/>
      <c r="G93" s="180">
        <v>220</v>
      </c>
      <c r="H93" s="180">
        <v>7</v>
      </c>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row>
    <row r="94" spans="1:49" x14ac:dyDescent="0.25">
      <c r="A94" s="180" t="str">
        <f>wp_archery&amp;" "&amp;12</f>
        <v>Archery 12</v>
      </c>
      <c r="B94" s="180">
        <v>5</v>
      </c>
      <c r="C94" s="180">
        <v>1</v>
      </c>
      <c r="D94" s="180"/>
      <c r="E94" s="180"/>
      <c r="F94" s="180"/>
      <c r="G94" s="180">
        <v>240</v>
      </c>
      <c r="H94" s="180">
        <v>8</v>
      </c>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row>
    <row r="95" spans="1:49" x14ac:dyDescent="0.25">
      <c r="A95" s="180" t="str">
        <f>wp_archery&amp;" "&amp;13</f>
        <v>Archery 13</v>
      </c>
      <c r="B95" s="180">
        <v>5</v>
      </c>
      <c r="C95" s="180">
        <v>1</v>
      </c>
      <c r="D95" s="180"/>
      <c r="E95" s="180"/>
      <c r="F95" s="180"/>
      <c r="G95" s="180">
        <v>260</v>
      </c>
      <c r="H95" s="180">
        <v>8</v>
      </c>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row>
    <row r="96" spans="1:49" x14ac:dyDescent="0.25">
      <c r="A96" s="180" t="str">
        <f>wp_archery&amp;" "&amp;14</f>
        <v>Archery 14</v>
      </c>
      <c r="B96" s="180">
        <v>6</v>
      </c>
      <c r="C96" s="180">
        <v>1</v>
      </c>
      <c r="D96" s="180"/>
      <c r="E96" s="180"/>
      <c r="F96" s="180"/>
      <c r="G96" s="180">
        <v>280</v>
      </c>
      <c r="H96" s="180">
        <v>8</v>
      </c>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row>
    <row r="97" spans="1:49" x14ac:dyDescent="0.25">
      <c r="A97" s="180" t="str">
        <f>wp_archery&amp;" "&amp;15</f>
        <v>Archery 15</v>
      </c>
      <c r="B97" s="180">
        <v>6</v>
      </c>
      <c r="C97" s="180">
        <v>1</v>
      </c>
      <c r="D97" s="180"/>
      <c r="E97" s="180"/>
      <c r="F97" s="180"/>
      <c r="G97" s="180">
        <v>300</v>
      </c>
      <c r="H97" s="180">
        <v>8</v>
      </c>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row>
    <row r="98" spans="1:49" x14ac:dyDescent="0.25">
      <c r="A98" s="180" t="str">
        <f>wp_axe&amp;" "&amp;1</f>
        <v>Battle Axe 1</v>
      </c>
      <c r="B98" s="180">
        <v>1</v>
      </c>
      <c r="C98" s="180"/>
      <c r="D98" s="180"/>
      <c r="E98" s="180"/>
      <c r="F98" s="180"/>
      <c r="G98" s="180"/>
      <c r="H98" s="180"/>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row>
    <row r="99" spans="1:49" x14ac:dyDescent="0.25">
      <c r="A99" s="180" t="str">
        <f>wp_axe&amp;" "&amp;2</f>
        <v>Battle Axe 2</v>
      </c>
      <c r="B99" s="180">
        <v>1</v>
      </c>
      <c r="C99" s="180">
        <v>1</v>
      </c>
      <c r="D99" s="180">
        <v>1</v>
      </c>
      <c r="E99" s="180"/>
      <c r="F99" s="180"/>
      <c r="G99" s="180"/>
      <c r="H99" s="180"/>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row>
    <row r="100" spans="1:49" x14ac:dyDescent="0.25">
      <c r="A100" s="180" t="str">
        <f>wp_axe&amp;" "&amp;3</f>
        <v>Battle Axe 3</v>
      </c>
      <c r="B100" s="180">
        <v>2</v>
      </c>
      <c r="C100" s="180">
        <v>1</v>
      </c>
      <c r="D100" s="180">
        <v>1</v>
      </c>
      <c r="E100" s="180"/>
      <c r="F100" s="180"/>
      <c r="G100" s="180"/>
      <c r="H100" s="180"/>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row>
    <row r="101" spans="1:49" x14ac:dyDescent="0.25">
      <c r="A101" s="180" t="str">
        <f>wp_axe&amp;" "&amp;4</f>
        <v>Battle Axe 4</v>
      </c>
      <c r="B101" s="180">
        <v>2</v>
      </c>
      <c r="C101" s="180">
        <v>2</v>
      </c>
      <c r="D101" s="180">
        <v>2</v>
      </c>
      <c r="E101" s="180"/>
      <c r="F101" s="180"/>
      <c r="G101" s="180"/>
      <c r="H101" s="180"/>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row>
    <row r="102" spans="1:49" x14ac:dyDescent="0.25">
      <c r="A102" s="180" t="str">
        <f>wp_axe&amp;" "&amp;5</f>
        <v>Battle Axe 5</v>
      </c>
      <c r="B102" s="180">
        <v>2</v>
      </c>
      <c r="C102" s="180">
        <v>2</v>
      </c>
      <c r="D102" s="180">
        <v>2</v>
      </c>
      <c r="E102" s="180"/>
      <c r="F102" s="180"/>
      <c r="G102" s="180"/>
      <c r="H102" s="180"/>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row>
    <row r="103" spans="1:49" x14ac:dyDescent="0.25">
      <c r="A103" s="180" t="str">
        <f>wp_axe&amp;" "&amp;6</f>
        <v>Battle Axe 6</v>
      </c>
      <c r="B103" s="180">
        <v>3</v>
      </c>
      <c r="C103" s="180">
        <v>2</v>
      </c>
      <c r="D103" s="180">
        <v>2</v>
      </c>
      <c r="E103" s="180"/>
      <c r="F103" s="180"/>
      <c r="G103" s="180"/>
      <c r="H103" s="180"/>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row>
    <row r="104" spans="1:49" x14ac:dyDescent="0.25">
      <c r="A104" s="180" t="str">
        <f>wp_axe&amp;" "&amp;7</f>
        <v>Battle Axe 7</v>
      </c>
      <c r="B104" s="180">
        <v>3</v>
      </c>
      <c r="C104" s="180">
        <v>2</v>
      </c>
      <c r="D104" s="180">
        <v>2</v>
      </c>
      <c r="E104" s="180"/>
      <c r="F104" s="180"/>
      <c r="G104" s="180"/>
      <c r="H104" s="180"/>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row>
    <row r="105" spans="1:49" x14ac:dyDescent="0.25">
      <c r="A105" s="180" t="str">
        <f>wp_axe&amp;" "&amp;8</f>
        <v>Battle Axe 8</v>
      </c>
      <c r="B105" s="180">
        <v>3</v>
      </c>
      <c r="C105" s="180">
        <v>3</v>
      </c>
      <c r="D105" s="180">
        <v>3</v>
      </c>
      <c r="E105" s="180"/>
      <c r="F105" s="180"/>
      <c r="G105" s="180"/>
      <c r="H105" s="180"/>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row>
    <row r="106" spans="1:49" x14ac:dyDescent="0.25">
      <c r="A106" s="180" t="str">
        <f>wp_axe&amp;" "&amp;9</f>
        <v>Battle Axe 9</v>
      </c>
      <c r="B106" s="180">
        <v>4</v>
      </c>
      <c r="C106" s="180">
        <v>3</v>
      </c>
      <c r="D106" s="180">
        <v>3</v>
      </c>
      <c r="E106" s="180"/>
      <c r="F106" s="180"/>
      <c r="G106" s="180"/>
      <c r="H106" s="180"/>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row>
    <row r="107" spans="1:49" x14ac:dyDescent="0.25">
      <c r="A107" s="180" t="str">
        <f>wp_axe&amp;" "&amp;10</f>
        <v>Battle Axe 10</v>
      </c>
      <c r="B107" s="180">
        <v>4</v>
      </c>
      <c r="C107" s="180">
        <v>3</v>
      </c>
      <c r="D107" s="180">
        <v>3</v>
      </c>
      <c r="E107" s="180"/>
      <c r="F107" s="180"/>
      <c r="G107" s="180"/>
      <c r="H107" s="180"/>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row>
    <row r="108" spans="1:49" x14ac:dyDescent="0.25">
      <c r="A108" s="180" t="str">
        <f>wp_axe&amp;" "&amp;11</f>
        <v>Battle Axe 11</v>
      </c>
      <c r="B108" s="180">
        <v>4</v>
      </c>
      <c r="C108" s="180">
        <v>3</v>
      </c>
      <c r="D108" s="180">
        <v>3</v>
      </c>
      <c r="E108" s="180"/>
      <c r="F108" s="180"/>
      <c r="G108" s="180"/>
      <c r="H108" s="180"/>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row>
    <row r="109" spans="1:49" x14ac:dyDescent="0.25">
      <c r="A109" s="180" t="str">
        <f>wp_axe&amp;" "&amp;12</f>
        <v>Battle Axe 12</v>
      </c>
      <c r="B109" s="180">
        <v>5</v>
      </c>
      <c r="C109" s="180">
        <v>4</v>
      </c>
      <c r="D109" s="180">
        <v>4</v>
      </c>
      <c r="E109" s="180"/>
      <c r="F109" s="180"/>
      <c r="G109" s="180"/>
      <c r="H109" s="180"/>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row>
    <row r="110" spans="1:49" x14ac:dyDescent="0.25">
      <c r="A110" s="180" t="str">
        <f>wp_axe&amp;" "&amp;13</f>
        <v>Battle Axe 13</v>
      </c>
      <c r="B110" s="180">
        <v>5</v>
      </c>
      <c r="C110" s="180">
        <v>4</v>
      </c>
      <c r="D110" s="180">
        <v>4</v>
      </c>
      <c r="E110" s="180"/>
      <c r="F110" s="180"/>
      <c r="G110" s="180"/>
      <c r="H110" s="180"/>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row>
    <row r="111" spans="1:49" x14ac:dyDescent="0.25">
      <c r="A111" s="180" t="str">
        <f>wp_axe&amp;" "&amp;14</f>
        <v>Battle Axe 14</v>
      </c>
      <c r="B111" s="180">
        <v>5</v>
      </c>
      <c r="C111" s="180">
        <v>4</v>
      </c>
      <c r="D111" s="180">
        <v>4</v>
      </c>
      <c r="E111" s="180"/>
      <c r="F111" s="180"/>
      <c r="G111" s="180"/>
      <c r="H111" s="180"/>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row>
    <row r="112" spans="1:49" x14ac:dyDescent="0.25">
      <c r="A112" s="180" t="str">
        <f>wp_axe&amp;" "&amp;15</f>
        <v>Battle Axe 15</v>
      </c>
      <c r="B112" s="180">
        <v>5</v>
      </c>
      <c r="C112" s="180">
        <v>4</v>
      </c>
      <c r="D112" s="180">
        <v>4</v>
      </c>
      <c r="E112" s="180"/>
      <c r="F112" s="180"/>
      <c r="G112" s="180"/>
      <c r="H112" s="180"/>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row>
    <row r="113" spans="1:49" x14ac:dyDescent="0.25">
      <c r="A113" s="180" t="str">
        <f>wp_blunt&amp;" "&amp;1</f>
        <v>Blunt 1</v>
      </c>
      <c r="B113" s="180">
        <v>1</v>
      </c>
      <c r="C113" s="180">
        <v>1</v>
      </c>
      <c r="D113" s="180"/>
      <c r="E113" s="180"/>
      <c r="F113" s="180"/>
      <c r="G113" s="180"/>
      <c r="H113" s="180"/>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row>
    <row r="114" spans="1:49" x14ac:dyDescent="0.25">
      <c r="A114" s="180" t="str">
        <f>wp_blunt&amp;" "&amp;2</f>
        <v>Blunt 2</v>
      </c>
      <c r="B114" s="180">
        <v>1</v>
      </c>
      <c r="C114" s="180">
        <v>1</v>
      </c>
      <c r="D114" s="180"/>
      <c r="E114" s="180"/>
      <c r="F114" s="180"/>
      <c r="G114" s="180"/>
      <c r="H114" s="180"/>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row>
    <row r="115" spans="1:49" x14ac:dyDescent="0.25">
      <c r="A115" s="180" t="str">
        <f>wp_blunt&amp;" "&amp;3</f>
        <v>Blunt 3</v>
      </c>
      <c r="B115" s="180">
        <v>2</v>
      </c>
      <c r="C115" s="180">
        <v>2</v>
      </c>
      <c r="D115" s="180"/>
      <c r="E115" s="180"/>
      <c r="F115" s="180"/>
      <c r="G115" s="180"/>
      <c r="H115" s="180"/>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row>
    <row r="116" spans="1:49" x14ac:dyDescent="0.25">
      <c r="A116" s="180" t="str">
        <f>wp_blunt&amp;" "&amp;4</f>
        <v>Blunt 4</v>
      </c>
      <c r="B116" s="180">
        <v>2</v>
      </c>
      <c r="C116" s="180">
        <v>2</v>
      </c>
      <c r="D116" s="180"/>
      <c r="E116" s="180"/>
      <c r="F116" s="180"/>
      <c r="G116" s="180"/>
      <c r="H116" s="180"/>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row>
    <row r="117" spans="1:49" x14ac:dyDescent="0.25">
      <c r="A117" s="180" t="str">
        <f>wp_blunt&amp;" "&amp;5</f>
        <v>Blunt 5</v>
      </c>
      <c r="B117" s="180">
        <v>2</v>
      </c>
      <c r="C117" s="180">
        <v>2</v>
      </c>
      <c r="D117" s="180">
        <v>1</v>
      </c>
      <c r="E117" s="180"/>
      <c r="F117" s="180"/>
      <c r="G117" s="180"/>
      <c r="H117" s="180"/>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row>
    <row r="118" spans="1:49" x14ac:dyDescent="0.25">
      <c r="A118" s="180" t="str">
        <f>wp_blunt&amp;" "&amp;6</f>
        <v>Blunt 6</v>
      </c>
      <c r="B118" s="180">
        <v>3</v>
      </c>
      <c r="C118" s="180">
        <v>3</v>
      </c>
      <c r="D118" s="180">
        <v>1</v>
      </c>
      <c r="E118" s="180"/>
      <c r="F118" s="180"/>
      <c r="G118" s="180"/>
      <c r="H118" s="180"/>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row>
    <row r="119" spans="1:49" x14ac:dyDescent="0.25">
      <c r="A119" s="180" t="str">
        <f>wp_blunt&amp;" "&amp;7</f>
        <v>Blunt 7</v>
      </c>
      <c r="B119" s="180">
        <v>3</v>
      </c>
      <c r="C119" s="180">
        <v>3</v>
      </c>
      <c r="D119" s="180">
        <v>1</v>
      </c>
      <c r="E119" s="180"/>
      <c r="F119" s="180"/>
      <c r="G119" s="180"/>
      <c r="H119" s="180"/>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row>
    <row r="120" spans="1:49" x14ac:dyDescent="0.25">
      <c r="A120" s="180" t="str">
        <f>wp_blunt&amp;" "&amp;8</f>
        <v>Blunt 8</v>
      </c>
      <c r="B120" s="180">
        <v>3</v>
      </c>
      <c r="C120" s="180">
        <v>3</v>
      </c>
      <c r="D120" s="180">
        <v>1</v>
      </c>
      <c r="E120" s="180"/>
      <c r="F120" s="180"/>
      <c r="G120" s="180"/>
      <c r="H120" s="180"/>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row>
    <row r="121" spans="1:49" x14ac:dyDescent="0.25">
      <c r="A121" s="180" t="str">
        <f>wp_blunt&amp;" "&amp;9</f>
        <v>Blunt 9</v>
      </c>
      <c r="B121" s="180">
        <v>4</v>
      </c>
      <c r="C121" s="180">
        <v>4</v>
      </c>
      <c r="D121" s="180">
        <v>1</v>
      </c>
      <c r="E121" s="180"/>
      <c r="F121" s="180"/>
      <c r="G121" s="180"/>
      <c r="H121" s="180"/>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row>
    <row r="122" spans="1:49" x14ac:dyDescent="0.25">
      <c r="A122" s="180" t="str">
        <f>wp_blunt&amp;" "&amp;10</f>
        <v>Blunt 10</v>
      </c>
      <c r="B122" s="180">
        <v>4</v>
      </c>
      <c r="C122" s="180">
        <v>4</v>
      </c>
      <c r="D122" s="180">
        <v>2</v>
      </c>
      <c r="E122" s="180"/>
      <c r="F122" s="180"/>
      <c r="G122" s="180"/>
      <c r="H122" s="180"/>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row>
    <row r="123" spans="1:49" x14ac:dyDescent="0.25">
      <c r="A123" s="180" t="str">
        <f>wp_blunt&amp;" "&amp;11</f>
        <v>Blunt 11</v>
      </c>
      <c r="B123" s="180">
        <v>4</v>
      </c>
      <c r="C123" s="180">
        <v>4</v>
      </c>
      <c r="D123" s="180">
        <v>2</v>
      </c>
      <c r="E123" s="180"/>
      <c r="F123" s="180"/>
      <c r="G123" s="180"/>
      <c r="H123" s="180"/>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row>
    <row r="124" spans="1:49" x14ac:dyDescent="0.25">
      <c r="A124" s="180" t="str">
        <f>wp_blunt&amp;" "&amp;12</f>
        <v>Blunt 12</v>
      </c>
      <c r="B124" s="180">
        <v>5</v>
      </c>
      <c r="C124" s="180">
        <v>5</v>
      </c>
      <c r="D124" s="180">
        <v>2</v>
      </c>
      <c r="E124" s="180"/>
      <c r="F124" s="180"/>
      <c r="G124" s="180"/>
      <c r="H124" s="180"/>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row>
    <row r="125" spans="1:49" x14ac:dyDescent="0.25">
      <c r="A125" s="180" t="str">
        <f>wp_blunt&amp;" "&amp;13</f>
        <v>Blunt 13</v>
      </c>
      <c r="B125" s="180">
        <v>5</v>
      </c>
      <c r="C125" s="180">
        <v>5</v>
      </c>
      <c r="D125" s="180">
        <v>2</v>
      </c>
      <c r="E125" s="180"/>
      <c r="F125" s="180"/>
      <c r="G125" s="180"/>
      <c r="H125" s="180"/>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row>
    <row r="126" spans="1:49" x14ac:dyDescent="0.25">
      <c r="A126" s="180" t="str">
        <f>wp_blunt&amp;" "&amp;14</f>
        <v>Blunt 14</v>
      </c>
      <c r="B126" s="180">
        <v>5</v>
      </c>
      <c r="C126" s="180">
        <v>5</v>
      </c>
      <c r="D126" s="180">
        <v>2</v>
      </c>
      <c r="E126" s="180"/>
      <c r="F126" s="180"/>
      <c r="G126" s="180"/>
      <c r="H126" s="180"/>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row>
    <row r="127" spans="1:49" x14ac:dyDescent="0.25">
      <c r="A127" s="180" t="str">
        <f>wp_blunt&amp;" "&amp;15</f>
        <v>Blunt 15</v>
      </c>
      <c r="B127" s="180">
        <v>5</v>
      </c>
      <c r="C127" s="180">
        <v>5</v>
      </c>
      <c r="D127" s="180">
        <v>3</v>
      </c>
      <c r="E127" s="180"/>
      <c r="F127" s="180"/>
      <c r="G127" s="180"/>
      <c r="H127" s="180"/>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row>
    <row r="128" spans="1:49" x14ac:dyDescent="0.25">
      <c r="A128" s="180" t="str">
        <f>wp_chain&amp;" "&amp;1</f>
        <v>Chain 1</v>
      </c>
      <c r="B128" s="180">
        <v>1</v>
      </c>
      <c r="C128" s="180"/>
      <c r="D128" s="180"/>
      <c r="E128" s="180"/>
      <c r="F128" s="180"/>
      <c r="G128" s="180"/>
      <c r="H128" s="180"/>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row>
    <row r="129" spans="1:49" x14ac:dyDescent="0.25">
      <c r="A129" s="180" t="str">
        <f>wp_chain&amp;" "&amp;2</f>
        <v>Chain 2</v>
      </c>
      <c r="B129" s="180">
        <v>1</v>
      </c>
      <c r="C129" s="180"/>
      <c r="D129" s="180"/>
      <c r="E129" s="180"/>
      <c r="F129" s="180"/>
      <c r="G129" s="180"/>
      <c r="H129" s="180"/>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row>
    <row r="130" spans="1:49" x14ac:dyDescent="0.25">
      <c r="A130" s="180" t="str">
        <f>wp_chain&amp;" "&amp;3</f>
        <v>Chain 3</v>
      </c>
      <c r="B130" s="180">
        <v>2</v>
      </c>
      <c r="C130" s="180"/>
      <c r="D130" s="180"/>
      <c r="E130" s="180"/>
      <c r="F130" s="180"/>
      <c r="G130" s="180"/>
      <c r="H130" s="180"/>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row>
    <row r="131" spans="1:49" x14ac:dyDescent="0.25">
      <c r="A131" s="180" t="str">
        <f>wp_chain&amp;" "&amp;4</f>
        <v>Chain 4</v>
      </c>
      <c r="B131" s="180">
        <v>2</v>
      </c>
      <c r="C131" s="180">
        <v>1</v>
      </c>
      <c r="D131" s="180"/>
      <c r="E131" s="180"/>
      <c r="F131" s="180"/>
      <c r="G131" s="180"/>
      <c r="H131" s="180"/>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row>
    <row r="132" spans="1:49" x14ac:dyDescent="0.25">
      <c r="A132" s="180" t="str">
        <f>wp_chain&amp;" "&amp;5</f>
        <v>Chain 5</v>
      </c>
      <c r="B132" s="180">
        <v>2</v>
      </c>
      <c r="C132" s="180">
        <v>1</v>
      </c>
      <c r="D132" s="180"/>
      <c r="E132" s="180"/>
      <c r="F132" s="180"/>
      <c r="G132" s="180"/>
      <c r="H132" s="180"/>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row>
    <row r="133" spans="1:49" x14ac:dyDescent="0.25">
      <c r="A133" s="180" t="str">
        <f>wp_chain&amp;" "&amp;6</f>
        <v>Chain 6</v>
      </c>
      <c r="B133" s="180">
        <v>2</v>
      </c>
      <c r="C133" s="180">
        <v>1</v>
      </c>
      <c r="D133" s="180"/>
      <c r="E133" s="180"/>
      <c r="F133" s="180"/>
      <c r="G133" s="180"/>
      <c r="H133" s="180"/>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row>
    <row r="134" spans="1:49" x14ac:dyDescent="0.25">
      <c r="A134" s="180" t="str">
        <f>wp_chain&amp;" "&amp;7</f>
        <v>Chain 7</v>
      </c>
      <c r="B134" s="180">
        <v>3</v>
      </c>
      <c r="C134" s="180">
        <v>1</v>
      </c>
      <c r="D134" s="180"/>
      <c r="E134" s="180"/>
      <c r="F134" s="180"/>
      <c r="G134" s="180"/>
      <c r="H134" s="180"/>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row>
    <row r="135" spans="1:49" x14ac:dyDescent="0.25">
      <c r="A135" s="180" t="str">
        <f>wp_chain&amp;" "&amp;8</f>
        <v>Chain 8</v>
      </c>
      <c r="B135" s="180">
        <v>3</v>
      </c>
      <c r="C135" s="180">
        <v>2</v>
      </c>
      <c r="D135" s="180"/>
      <c r="E135" s="180"/>
      <c r="F135" s="180"/>
      <c r="G135" s="180"/>
      <c r="H135" s="180"/>
      <c r="I135" s="168"/>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row>
    <row r="136" spans="1:49" x14ac:dyDescent="0.25">
      <c r="A136" s="180" t="str">
        <f>wp_chain&amp;" "&amp;9</f>
        <v>Chain 9</v>
      </c>
      <c r="B136" s="180">
        <v>3</v>
      </c>
      <c r="C136" s="180">
        <v>2</v>
      </c>
      <c r="D136" s="180"/>
      <c r="E136" s="180"/>
      <c r="F136" s="180"/>
      <c r="G136" s="180"/>
      <c r="H136" s="180"/>
      <c r="I136" s="168"/>
      <c r="J136" s="168"/>
      <c r="K136" s="168"/>
      <c r="L136" s="168"/>
      <c r="M136" s="168"/>
      <c r="N136" s="168"/>
      <c r="O136" s="168"/>
      <c r="P136" s="168"/>
      <c r="Q136" s="168"/>
      <c r="R136" s="168"/>
      <c r="S136" s="168"/>
      <c r="T136" s="168"/>
      <c r="U136" s="168"/>
      <c r="V136" s="168"/>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row>
    <row r="137" spans="1:49" x14ac:dyDescent="0.25">
      <c r="A137" s="180" t="str">
        <f>wp_chain&amp;" "&amp;10</f>
        <v>Chain 10</v>
      </c>
      <c r="B137" s="180">
        <v>4</v>
      </c>
      <c r="C137" s="180">
        <v>2</v>
      </c>
      <c r="D137" s="180"/>
      <c r="E137" s="180"/>
      <c r="F137" s="180"/>
      <c r="G137" s="180"/>
      <c r="H137" s="180"/>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row>
    <row r="138" spans="1:49" x14ac:dyDescent="0.25">
      <c r="A138" s="180" t="str">
        <f>wp_chain&amp;" "&amp;11</f>
        <v>Chain 11</v>
      </c>
      <c r="B138" s="180">
        <v>4</v>
      </c>
      <c r="C138" s="180">
        <v>2</v>
      </c>
      <c r="D138" s="180"/>
      <c r="E138" s="180"/>
      <c r="F138" s="180"/>
      <c r="G138" s="180"/>
      <c r="H138" s="180"/>
      <c r="I138" s="168"/>
      <c r="J138" s="168"/>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row>
    <row r="139" spans="1:49" x14ac:dyDescent="0.25">
      <c r="A139" s="180" t="str">
        <f>wp_chain&amp;" "&amp;12</f>
        <v>Chain 12</v>
      </c>
      <c r="B139" s="180">
        <v>4</v>
      </c>
      <c r="C139" s="180">
        <v>3</v>
      </c>
      <c r="D139" s="180"/>
      <c r="E139" s="180"/>
      <c r="F139" s="180"/>
      <c r="G139" s="180"/>
      <c r="H139" s="180"/>
      <c r="I139" s="168"/>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row>
    <row r="140" spans="1:49" x14ac:dyDescent="0.25">
      <c r="A140" s="180" t="str">
        <f>wp_chain&amp;" "&amp;13</f>
        <v>Chain 13</v>
      </c>
      <c r="B140" s="180">
        <v>5</v>
      </c>
      <c r="C140" s="180">
        <v>3</v>
      </c>
      <c r="D140" s="180"/>
      <c r="E140" s="180"/>
      <c r="F140" s="180"/>
      <c r="G140" s="180"/>
      <c r="H140" s="180"/>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row>
    <row r="141" spans="1:49" x14ac:dyDescent="0.25">
      <c r="A141" s="180" t="str">
        <f>wp_chain&amp;" "&amp;14</f>
        <v>Chain 14</v>
      </c>
      <c r="B141" s="180">
        <v>5</v>
      </c>
      <c r="C141" s="180">
        <v>3</v>
      </c>
      <c r="D141" s="180"/>
      <c r="E141" s="180"/>
      <c r="F141" s="180"/>
      <c r="G141" s="180"/>
      <c r="H141" s="180"/>
      <c r="I141" s="168"/>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row>
    <row r="142" spans="1:49" x14ac:dyDescent="0.25">
      <c r="A142" s="180" t="str">
        <f>wp_chain&amp;" "&amp;15</f>
        <v>Chain 15</v>
      </c>
      <c r="B142" s="180">
        <v>5</v>
      </c>
      <c r="C142" s="180">
        <v>3</v>
      </c>
      <c r="D142" s="180"/>
      <c r="E142" s="180"/>
      <c r="F142" s="180"/>
      <c r="G142" s="180"/>
      <c r="H142" s="180"/>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row>
    <row r="143" spans="1:49" x14ac:dyDescent="0.25">
      <c r="A143" s="180" t="str">
        <f>wp_forked&amp;" "&amp;1</f>
        <v>Forked Weapons/Trident 1</v>
      </c>
      <c r="B143" s="180">
        <v>1</v>
      </c>
      <c r="C143" s="180">
        <v>1</v>
      </c>
      <c r="D143" s="180"/>
      <c r="E143" s="180">
        <v>1</v>
      </c>
      <c r="F143" s="180"/>
      <c r="G143" s="180"/>
      <c r="H143" s="180"/>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row>
    <row r="144" spans="1:49" x14ac:dyDescent="0.25">
      <c r="A144" s="180" t="str">
        <f>wp_forked&amp;" "&amp;2</f>
        <v>Forked Weapons/Trident 2</v>
      </c>
      <c r="B144" s="180">
        <v>1</v>
      </c>
      <c r="C144" s="180">
        <v>1</v>
      </c>
      <c r="D144" s="180"/>
      <c r="E144" s="180">
        <v>1</v>
      </c>
      <c r="F144" s="180"/>
      <c r="G144" s="180"/>
      <c r="H144" s="180"/>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row>
    <row r="145" spans="1:49" x14ac:dyDescent="0.25">
      <c r="A145" s="180" t="str">
        <f>wp_forked&amp;" "&amp;3</f>
        <v>Forked Weapons/Trident 3</v>
      </c>
      <c r="B145" s="180">
        <v>2</v>
      </c>
      <c r="C145" s="180">
        <v>2</v>
      </c>
      <c r="D145" s="180"/>
      <c r="E145" s="180">
        <v>2</v>
      </c>
      <c r="F145" s="180"/>
      <c r="G145" s="180"/>
      <c r="H145" s="180"/>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c r="AW145" s="168"/>
    </row>
    <row r="146" spans="1:49" x14ac:dyDescent="0.25">
      <c r="A146" s="180" t="str">
        <f>wp_forked&amp;" "&amp;4</f>
        <v>Forked Weapons/Trident 4</v>
      </c>
      <c r="B146" s="180">
        <v>2</v>
      </c>
      <c r="C146" s="180">
        <v>2</v>
      </c>
      <c r="D146" s="180">
        <v>1</v>
      </c>
      <c r="E146" s="180">
        <v>2</v>
      </c>
      <c r="F146" s="180"/>
      <c r="G146" s="180"/>
      <c r="H146" s="180"/>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c r="AW146" s="168"/>
    </row>
    <row r="147" spans="1:49" x14ac:dyDescent="0.25">
      <c r="A147" s="180" t="str">
        <f>wp_forked&amp;" "&amp;5</f>
        <v>Forked Weapons/Trident 5</v>
      </c>
      <c r="B147" s="180">
        <v>3</v>
      </c>
      <c r="C147" s="180">
        <v>2</v>
      </c>
      <c r="D147" s="180">
        <v>1</v>
      </c>
      <c r="E147" s="180">
        <v>3</v>
      </c>
      <c r="F147" s="180"/>
      <c r="G147" s="180"/>
      <c r="H147" s="180"/>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row>
    <row r="148" spans="1:49" x14ac:dyDescent="0.25">
      <c r="A148" s="180" t="str">
        <f>wp_forked&amp;" "&amp;6</f>
        <v>Forked Weapons/Trident 6</v>
      </c>
      <c r="B148" s="180">
        <v>3</v>
      </c>
      <c r="C148" s="180">
        <v>3</v>
      </c>
      <c r="D148" s="180">
        <v>1</v>
      </c>
      <c r="E148" s="180">
        <v>3</v>
      </c>
      <c r="F148" s="180"/>
      <c r="G148" s="180"/>
      <c r="H148" s="180"/>
      <c r="I148" s="168"/>
      <c r="J148" s="168"/>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c r="AW148" s="168"/>
    </row>
    <row r="149" spans="1:49" x14ac:dyDescent="0.25">
      <c r="A149" s="180" t="str">
        <f>wp_forked&amp;" "&amp;7</f>
        <v>Forked Weapons/Trident 7</v>
      </c>
      <c r="B149" s="180">
        <v>3</v>
      </c>
      <c r="C149" s="180">
        <v>3</v>
      </c>
      <c r="D149" s="180">
        <v>1</v>
      </c>
      <c r="E149" s="180">
        <v>3</v>
      </c>
      <c r="F149" s="180"/>
      <c r="G149" s="180"/>
      <c r="H149" s="180"/>
      <c r="I149" s="168"/>
      <c r="J149" s="168"/>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row>
    <row r="150" spans="1:49" x14ac:dyDescent="0.25">
      <c r="A150" s="180" t="str">
        <f>wp_forked&amp;" "&amp;8</f>
        <v>Forked Weapons/Trident 8</v>
      </c>
      <c r="B150" s="180">
        <v>4</v>
      </c>
      <c r="C150" s="180">
        <v>3</v>
      </c>
      <c r="D150" s="180">
        <v>1</v>
      </c>
      <c r="E150" s="180">
        <v>4</v>
      </c>
      <c r="F150" s="180"/>
      <c r="G150" s="180"/>
      <c r="H150" s="180"/>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row>
    <row r="151" spans="1:49" x14ac:dyDescent="0.25">
      <c r="A151" s="180" t="str">
        <f>wp_forked&amp;" "&amp;9</f>
        <v>Forked Weapons/Trident 9</v>
      </c>
      <c r="B151" s="180">
        <v>4</v>
      </c>
      <c r="C151" s="180">
        <v>3</v>
      </c>
      <c r="D151" s="180">
        <v>1</v>
      </c>
      <c r="E151" s="180">
        <v>4</v>
      </c>
      <c r="F151" s="180"/>
      <c r="G151" s="180"/>
      <c r="H151" s="180"/>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row>
    <row r="152" spans="1:49" x14ac:dyDescent="0.25">
      <c r="A152" s="180" t="str">
        <f>wp_forked&amp;" "&amp;10</f>
        <v>Forked Weapons/Trident 10</v>
      </c>
      <c r="B152" s="180">
        <v>4</v>
      </c>
      <c r="C152" s="180">
        <v>4</v>
      </c>
      <c r="D152" s="180">
        <v>2</v>
      </c>
      <c r="E152" s="180">
        <v>4</v>
      </c>
      <c r="F152" s="180"/>
      <c r="G152" s="180"/>
      <c r="H152" s="180"/>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row>
    <row r="153" spans="1:49" x14ac:dyDescent="0.25">
      <c r="A153" s="180" t="str">
        <f>wp_forked&amp;" "&amp;11</f>
        <v>Forked Weapons/Trident 11</v>
      </c>
      <c r="B153" s="180">
        <v>5</v>
      </c>
      <c r="C153" s="180">
        <v>4</v>
      </c>
      <c r="D153" s="180">
        <v>2</v>
      </c>
      <c r="E153" s="180">
        <v>5</v>
      </c>
      <c r="F153" s="180"/>
      <c r="G153" s="180"/>
      <c r="H153" s="180"/>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row>
    <row r="154" spans="1:49" x14ac:dyDescent="0.25">
      <c r="A154" s="180" t="str">
        <f>wp_forked&amp;" "&amp;12</f>
        <v>Forked Weapons/Trident 12</v>
      </c>
      <c r="B154" s="180">
        <v>5</v>
      </c>
      <c r="C154" s="180">
        <v>4</v>
      </c>
      <c r="D154" s="180">
        <v>2</v>
      </c>
      <c r="E154" s="180">
        <v>5</v>
      </c>
      <c r="F154" s="180"/>
      <c r="G154" s="180"/>
      <c r="H154" s="180"/>
      <c r="I154" s="168"/>
      <c r="J154" s="168"/>
      <c r="K154" s="168"/>
      <c r="L154" s="168"/>
      <c r="M154" s="168"/>
      <c r="N154" s="168"/>
      <c r="O154" s="168"/>
      <c r="P154" s="168"/>
      <c r="Q154" s="168"/>
      <c r="R154" s="168"/>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c r="AW154" s="168"/>
    </row>
    <row r="155" spans="1:49" x14ac:dyDescent="0.25">
      <c r="A155" s="180" t="str">
        <f>wp_forked&amp;" "&amp;13</f>
        <v>Forked Weapons/Trident 13</v>
      </c>
      <c r="B155" s="180">
        <v>6</v>
      </c>
      <c r="C155" s="180">
        <v>5</v>
      </c>
      <c r="D155" s="180">
        <v>2</v>
      </c>
      <c r="E155" s="180">
        <v>6</v>
      </c>
      <c r="F155" s="180"/>
      <c r="G155" s="180"/>
      <c r="H155" s="180"/>
      <c r="I155" s="168"/>
      <c r="J155" s="168"/>
      <c r="K155" s="168"/>
      <c r="L155" s="168"/>
      <c r="M155" s="168"/>
      <c r="N155" s="168"/>
      <c r="O155" s="168"/>
      <c r="P155" s="168"/>
      <c r="Q155" s="168"/>
      <c r="R155" s="168"/>
      <c r="S155" s="168"/>
      <c r="T155" s="168"/>
      <c r="U155" s="168"/>
      <c r="V155" s="168"/>
      <c r="W155" s="168"/>
      <c r="X155" s="168"/>
      <c r="Y155" s="168"/>
      <c r="Z155" s="168"/>
      <c r="AA155" s="168"/>
      <c r="AB155" s="168"/>
      <c r="AC155" s="168"/>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row>
    <row r="156" spans="1:49" x14ac:dyDescent="0.25">
      <c r="A156" s="180" t="str">
        <f>wp_forked&amp;" "&amp;14</f>
        <v>Forked Weapons/Trident 14</v>
      </c>
      <c r="B156" s="180">
        <v>6</v>
      </c>
      <c r="C156" s="180">
        <v>5</v>
      </c>
      <c r="D156" s="180">
        <v>2</v>
      </c>
      <c r="E156" s="180">
        <v>6</v>
      </c>
      <c r="F156" s="180"/>
      <c r="G156" s="180"/>
      <c r="H156" s="180"/>
      <c r="I156" s="168"/>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8"/>
      <c r="AN156" s="168"/>
      <c r="AO156" s="168"/>
      <c r="AP156" s="168"/>
      <c r="AQ156" s="168"/>
      <c r="AR156" s="168"/>
      <c r="AS156" s="168"/>
      <c r="AT156" s="168"/>
      <c r="AU156" s="168"/>
      <c r="AV156" s="168"/>
      <c r="AW156" s="168"/>
    </row>
    <row r="157" spans="1:49" x14ac:dyDescent="0.25">
      <c r="A157" s="180" t="str">
        <f>wp_forked&amp;" "&amp;15</f>
        <v>Forked Weapons/Trident 15</v>
      </c>
      <c r="B157" s="180">
        <v>6</v>
      </c>
      <c r="C157" s="180">
        <v>5</v>
      </c>
      <c r="D157" s="180">
        <v>3</v>
      </c>
      <c r="E157" s="180">
        <v>6</v>
      </c>
      <c r="F157" s="180"/>
      <c r="G157" s="180"/>
      <c r="H157" s="180"/>
      <c r="I157" s="168"/>
      <c r="J157" s="168"/>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168"/>
      <c r="AJ157" s="168"/>
      <c r="AK157" s="168"/>
      <c r="AL157" s="168"/>
      <c r="AM157" s="168"/>
      <c r="AN157" s="168"/>
      <c r="AO157" s="168"/>
      <c r="AP157" s="168"/>
      <c r="AQ157" s="168"/>
      <c r="AR157" s="168"/>
      <c r="AS157" s="168"/>
      <c r="AT157" s="168"/>
      <c r="AU157" s="168"/>
      <c r="AV157" s="168"/>
      <c r="AW157" s="168"/>
    </row>
    <row r="158" spans="1:49" x14ac:dyDescent="0.25">
      <c r="A158" s="180" t="str">
        <f>wp_hook&amp;" "&amp;1</f>
        <v>Grappling Hook 1</v>
      </c>
      <c r="B158" s="180"/>
      <c r="C158" s="180" t="e">
        <v>#N/A</v>
      </c>
      <c r="D158" s="180"/>
      <c r="E158" s="180"/>
      <c r="F158" s="180"/>
      <c r="G158" s="180"/>
      <c r="H158" s="180"/>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row>
    <row r="159" spans="1:49" x14ac:dyDescent="0.25">
      <c r="A159" s="180" t="str">
        <f>wp_hook&amp;" "&amp;2</f>
        <v>Grappling Hook 2</v>
      </c>
      <c r="B159" s="180"/>
      <c r="C159" s="180" t="e">
        <v>#N/A</v>
      </c>
      <c r="D159" s="180"/>
      <c r="E159" s="180"/>
      <c r="F159" s="180"/>
      <c r="G159" s="180"/>
      <c r="H159" s="180"/>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row>
    <row r="160" spans="1:49" x14ac:dyDescent="0.25">
      <c r="A160" s="180" t="str">
        <f>wp_hook&amp;" "&amp;3</f>
        <v>Grappling Hook 3</v>
      </c>
      <c r="B160" s="180">
        <v>1</v>
      </c>
      <c r="C160" s="180" t="e">
        <v>#N/A</v>
      </c>
      <c r="D160" s="180"/>
      <c r="E160" s="180">
        <v>1</v>
      </c>
      <c r="F160" s="180"/>
      <c r="G160" s="180"/>
      <c r="H160" s="180"/>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row>
    <row r="161" spans="1:49" x14ac:dyDescent="0.25">
      <c r="A161" s="180" t="str">
        <f>wp_hook&amp;" "&amp;4</f>
        <v>Grappling Hook 4</v>
      </c>
      <c r="B161" s="180">
        <v>1</v>
      </c>
      <c r="C161" s="180" t="e">
        <v>#N/A</v>
      </c>
      <c r="D161" s="180"/>
      <c r="E161" s="180">
        <v>1</v>
      </c>
      <c r="F161" s="180"/>
      <c r="G161" s="180"/>
      <c r="H161" s="180"/>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row>
    <row r="162" spans="1:49" x14ac:dyDescent="0.25">
      <c r="A162" s="180" t="str">
        <f>wp_hook&amp;" "&amp;5</f>
        <v>Grappling Hook 5</v>
      </c>
      <c r="B162" s="180">
        <v>1</v>
      </c>
      <c r="C162" s="180" t="e">
        <v>#N/A</v>
      </c>
      <c r="D162" s="180"/>
      <c r="E162" s="180">
        <v>1</v>
      </c>
      <c r="F162" s="180"/>
      <c r="G162" s="180"/>
      <c r="H162" s="180"/>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row>
    <row r="163" spans="1:49" x14ac:dyDescent="0.25">
      <c r="A163" s="180" t="str">
        <f>wp_hook&amp;" "&amp;6</f>
        <v>Grappling Hook 6</v>
      </c>
      <c r="B163" s="180">
        <v>2</v>
      </c>
      <c r="C163" s="180" t="e">
        <v>#N/A</v>
      </c>
      <c r="D163" s="180"/>
      <c r="E163" s="180">
        <v>2</v>
      </c>
      <c r="F163" s="180"/>
      <c r="G163" s="180"/>
      <c r="H163" s="180"/>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row>
    <row r="164" spans="1:49" x14ac:dyDescent="0.25">
      <c r="A164" s="180" t="str">
        <f>wp_hook&amp;" "&amp;7</f>
        <v>Grappling Hook 7</v>
      </c>
      <c r="B164" s="180">
        <v>2</v>
      </c>
      <c r="C164" s="180" t="e">
        <v>#N/A</v>
      </c>
      <c r="D164" s="180"/>
      <c r="E164" s="180">
        <v>2</v>
      </c>
      <c r="F164" s="180"/>
      <c r="G164" s="180"/>
      <c r="H164" s="180"/>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row>
    <row r="165" spans="1:49" x14ac:dyDescent="0.25">
      <c r="A165" s="180" t="str">
        <f>wp_hook&amp;" "&amp;8</f>
        <v>Grappling Hook 8</v>
      </c>
      <c r="B165" s="180">
        <v>2</v>
      </c>
      <c r="C165" s="180" t="e">
        <v>#N/A</v>
      </c>
      <c r="D165" s="180"/>
      <c r="E165" s="180">
        <v>2</v>
      </c>
      <c r="F165" s="180"/>
      <c r="G165" s="180"/>
      <c r="H165" s="180"/>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row>
    <row r="166" spans="1:49" x14ac:dyDescent="0.25">
      <c r="A166" s="180" t="str">
        <f>wp_hook&amp;" "&amp;9</f>
        <v>Grappling Hook 9</v>
      </c>
      <c r="B166" s="180">
        <v>3</v>
      </c>
      <c r="C166" s="180" t="e">
        <v>#N/A</v>
      </c>
      <c r="D166" s="180"/>
      <c r="E166" s="180">
        <v>3</v>
      </c>
      <c r="F166" s="180"/>
      <c r="G166" s="180"/>
      <c r="H166" s="180"/>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row>
    <row r="167" spans="1:49" x14ac:dyDescent="0.25">
      <c r="A167" s="180" t="str">
        <f>wp_hook&amp;" "&amp;10</f>
        <v>Grappling Hook 10</v>
      </c>
      <c r="B167" s="180">
        <v>3</v>
      </c>
      <c r="C167" s="180" t="e">
        <v>#N/A</v>
      </c>
      <c r="D167" s="180"/>
      <c r="E167" s="180">
        <v>3</v>
      </c>
      <c r="F167" s="180"/>
      <c r="G167" s="180"/>
      <c r="H167" s="180"/>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row>
    <row r="168" spans="1:49" x14ac:dyDescent="0.25">
      <c r="A168" s="180" t="str">
        <f>wp_hook&amp;" "&amp;11</f>
        <v>Grappling Hook 11</v>
      </c>
      <c r="B168" s="180">
        <v>3</v>
      </c>
      <c r="C168" s="180" t="e">
        <v>#N/A</v>
      </c>
      <c r="D168" s="180"/>
      <c r="E168" s="180">
        <v>3</v>
      </c>
      <c r="F168" s="180"/>
      <c r="G168" s="180"/>
      <c r="H168" s="180"/>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row>
    <row r="169" spans="1:49" x14ac:dyDescent="0.25">
      <c r="A169" s="180" t="str">
        <f>wp_hook&amp;" "&amp;12</f>
        <v>Grappling Hook 12</v>
      </c>
      <c r="B169" s="180">
        <v>4</v>
      </c>
      <c r="C169" s="180" t="e">
        <v>#N/A</v>
      </c>
      <c r="D169" s="180"/>
      <c r="E169" s="180">
        <v>4</v>
      </c>
      <c r="F169" s="180"/>
      <c r="G169" s="180"/>
      <c r="H169" s="180"/>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c r="AW169" s="168"/>
    </row>
    <row r="170" spans="1:49" x14ac:dyDescent="0.25">
      <c r="A170" s="180" t="str">
        <f>wp_hook&amp;" "&amp;13</f>
        <v>Grappling Hook 13</v>
      </c>
      <c r="B170" s="180">
        <v>4</v>
      </c>
      <c r="C170" s="180" t="e">
        <v>#N/A</v>
      </c>
      <c r="D170" s="180"/>
      <c r="E170" s="180">
        <v>4</v>
      </c>
      <c r="F170" s="180"/>
      <c r="G170" s="180"/>
      <c r="H170" s="180"/>
      <c r="I170" s="168"/>
      <c r="J170" s="168"/>
      <c r="K170" s="168"/>
      <c r="L170" s="168"/>
      <c r="M170" s="168"/>
      <c r="N170" s="168"/>
      <c r="O170" s="168"/>
      <c r="P170" s="168"/>
      <c r="Q170" s="168"/>
      <c r="R170" s="168"/>
      <c r="S170" s="168"/>
      <c r="T170" s="168"/>
      <c r="U170" s="168"/>
      <c r="V170" s="168"/>
      <c r="W170" s="168"/>
      <c r="X170" s="168"/>
      <c r="Y170" s="168"/>
      <c r="Z170" s="168"/>
      <c r="AA170" s="168"/>
      <c r="AB170" s="168"/>
      <c r="AC170" s="168"/>
      <c r="AD170" s="168"/>
      <c r="AE170" s="168"/>
      <c r="AF170" s="168"/>
      <c r="AG170" s="168"/>
      <c r="AH170" s="168"/>
      <c r="AI170" s="168"/>
      <c r="AJ170" s="168"/>
      <c r="AK170" s="168"/>
      <c r="AL170" s="168"/>
      <c r="AM170" s="168"/>
      <c r="AN170" s="168"/>
      <c r="AO170" s="168"/>
      <c r="AP170" s="168"/>
      <c r="AQ170" s="168"/>
      <c r="AR170" s="168"/>
      <c r="AS170" s="168"/>
      <c r="AT170" s="168"/>
      <c r="AU170" s="168"/>
      <c r="AV170" s="168"/>
      <c r="AW170" s="168"/>
    </row>
    <row r="171" spans="1:49" x14ac:dyDescent="0.25">
      <c r="A171" s="180" t="str">
        <f>wp_hook&amp;" "&amp;14</f>
        <v>Grappling Hook 14</v>
      </c>
      <c r="B171" s="180">
        <v>4</v>
      </c>
      <c r="C171" s="180" t="e">
        <v>#N/A</v>
      </c>
      <c r="D171" s="180"/>
      <c r="E171" s="180">
        <v>4</v>
      </c>
      <c r="F171" s="180"/>
      <c r="G171" s="180"/>
      <c r="H171" s="180"/>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row>
    <row r="172" spans="1:49" x14ac:dyDescent="0.25">
      <c r="A172" s="180" t="str">
        <f>wp_hook&amp;" "&amp;15</f>
        <v>Grappling Hook 15</v>
      </c>
      <c r="B172" s="180">
        <v>4</v>
      </c>
      <c r="C172" s="180" t="e">
        <v>#N/A</v>
      </c>
      <c r="D172" s="180"/>
      <c r="E172" s="180">
        <v>4</v>
      </c>
      <c r="F172" s="180"/>
      <c r="G172" s="180"/>
      <c r="H172" s="180"/>
      <c r="I172" s="168"/>
      <c r="J172" s="168"/>
      <c r="K172" s="168"/>
      <c r="L172" s="168"/>
      <c r="M172" s="168"/>
      <c r="N172" s="168"/>
      <c r="O172" s="168"/>
      <c r="P172" s="168"/>
      <c r="Q172" s="168"/>
      <c r="R172" s="168"/>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c r="AW172" s="168"/>
    </row>
    <row r="173" spans="1:49" x14ac:dyDescent="0.25">
      <c r="A173" s="180" t="str">
        <f>wp_knife&amp;" "&amp;1</f>
        <v>Knife 1</v>
      </c>
      <c r="B173" s="180"/>
      <c r="C173" s="180">
        <v>1</v>
      </c>
      <c r="D173" s="180">
        <v>1</v>
      </c>
      <c r="E173" s="180"/>
      <c r="F173" s="180"/>
      <c r="G173" s="180"/>
      <c r="H173" s="180"/>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row>
    <row r="174" spans="1:49" x14ac:dyDescent="0.25">
      <c r="A174" s="180" t="str">
        <f>wp_knife&amp;" "&amp;2</f>
        <v>Knife 2</v>
      </c>
      <c r="B174" s="180">
        <v>1</v>
      </c>
      <c r="C174" s="180">
        <v>1</v>
      </c>
      <c r="D174" s="180">
        <v>1</v>
      </c>
      <c r="E174" s="180"/>
      <c r="F174" s="180"/>
      <c r="G174" s="180"/>
      <c r="H174" s="180"/>
      <c r="I174" s="168"/>
      <c r="J174" s="168"/>
      <c r="K174" s="168"/>
      <c r="L174" s="168"/>
      <c r="M174" s="168"/>
      <c r="N174" s="168"/>
      <c r="O174" s="168"/>
      <c r="P174" s="168"/>
      <c r="Q174" s="168"/>
      <c r="R174" s="168"/>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c r="AW174" s="168"/>
    </row>
    <row r="175" spans="1:49" x14ac:dyDescent="0.25">
      <c r="A175" s="180" t="str">
        <f>wp_knife&amp;" "&amp;3</f>
        <v>Knife 3</v>
      </c>
      <c r="B175" s="180">
        <v>1</v>
      </c>
      <c r="C175" s="180">
        <v>2</v>
      </c>
      <c r="D175" s="180">
        <v>2</v>
      </c>
      <c r="E175" s="180"/>
      <c r="F175" s="180"/>
      <c r="G175" s="180"/>
      <c r="H175" s="180"/>
      <c r="I175" s="168"/>
      <c r="J175" s="168"/>
      <c r="K175" s="168"/>
      <c r="L175" s="168"/>
      <c r="M175" s="168"/>
      <c r="N175" s="168"/>
      <c r="O175" s="168"/>
      <c r="P175" s="168"/>
      <c r="Q175" s="168"/>
      <c r="R175" s="168"/>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c r="AW175" s="168"/>
    </row>
    <row r="176" spans="1:49" x14ac:dyDescent="0.25">
      <c r="A176" s="180" t="str">
        <f>wp_knife&amp;" "&amp;4</f>
        <v>Knife 4</v>
      </c>
      <c r="B176" s="180">
        <v>2</v>
      </c>
      <c r="C176" s="180">
        <v>2</v>
      </c>
      <c r="D176" s="180">
        <v>2</v>
      </c>
      <c r="E176" s="180"/>
      <c r="F176" s="180"/>
      <c r="G176" s="180"/>
      <c r="H176" s="180"/>
      <c r="I176" s="168"/>
      <c r="J176" s="168"/>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c r="AU176" s="168"/>
      <c r="AV176" s="168"/>
      <c r="AW176" s="168"/>
    </row>
    <row r="177" spans="1:49" x14ac:dyDescent="0.25">
      <c r="A177" s="180" t="str">
        <f>wp_knife&amp;" "&amp;5</f>
        <v>Knife 5</v>
      </c>
      <c r="B177" s="180">
        <v>2</v>
      </c>
      <c r="C177" s="180">
        <v>2</v>
      </c>
      <c r="D177" s="180">
        <v>2</v>
      </c>
      <c r="E177" s="180"/>
      <c r="F177" s="180"/>
      <c r="G177" s="180"/>
      <c r="H177" s="180"/>
      <c r="I177" s="168"/>
      <c r="J177" s="168"/>
      <c r="K177" s="168"/>
      <c r="L177" s="168"/>
      <c r="M177" s="168"/>
      <c r="N177" s="168"/>
      <c r="O177" s="168"/>
      <c r="P177" s="168"/>
      <c r="Q177" s="168"/>
      <c r="R177" s="168"/>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row>
    <row r="178" spans="1:49" x14ac:dyDescent="0.25">
      <c r="A178" s="180" t="str">
        <f>wp_knife&amp;" "&amp;6</f>
        <v>Knife 6</v>
      </c>
      <c r="B178" s="180">
        <v>2</v>
      </c>
      <c r="C178" s="180">
        <v>3</v>
      </c>
      <c r="D178" s="180">
        <v>3</v>
      </c>
      <c r="E178" s="180"/>
      <c r="F178" s="180"/>
      <c r="G178" s="180"/>
      <c r="H178" s="180"/>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c r="AW178" s="168"/>
    </row>
    <row r="179" spans="1:49" x14ac:dyDescent="0.25">
      <c r="A179" s="180" t="str">
        <f>wp_knife&amp;" "&amp;7</f>
        <v>Knife 7</v>
      </c>
      <c r="B179" s="180">
        <v>3</v>
      </c>
      <c r="C179" s="180">
        <v>3</v>
      </c>
      <c r="D179" s="180">
        <v>3</v>
      </c>
      <c r="E179" s="180"/>
      <c r="F179" s="180"/>
      <c r="G179" s="180"/>
      <c r="H179" s="180"/>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row>
    <row r="180" spans="1:49" x14ac:dyDescent="0.25">
      <c r="A180" s="180" t="str">
        <f>wp_knife&amp;" "&amp;8</f>
        <v>Knife 8</v>
      </c>
      <c r="B180" s="180">
        <v>3</v>
      </c>
      <c r="C180" s="180">
        <v>3</v>
      </c>
      <c r="D180" s="180">
        <v>4</v>
      </c>
      <c r="E180" s="180"/>
      <c r="F180" s="180"/>
      <c r="G180" s="180"/>
      <c r="H180" s="180"/>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168"/>
      <c r="AL180" s="168"/>
      <c r="AM180" s="168"/>
      <c r="AN180" s="168"/>
      <c r="AO180" s="168"/>
      <c r="AP180" s="168"/>
      <c r="AQ180" s="168"/>
      <c r="AR180" s="168"/>
      <c r="AS180" s="168"/>
      <c r="AT180" s="168"/>
      <c r="AU180" s="168"/>
      <c r="AV180" s="168"/>
      <c r="AW180" s="168"/>
    </row>
    <row r="181" spans="1:49" x14ac:dyDescent="0.25">
      <c r="A181" s="180" t="str">
        <f>wp_knife&amp;" "&amp;9</f>
        <v>Knife 9</v>
      </c>
      <c r="B181" s="180">
        <v>3</v>
      </c>
      <c r="C181" s="180">
        <v>4</v>
      </c>
      <c r="D181" s="180">
        <v>4</v>
      </c>
      <c r="E181" s="180"/>
      <c r="F181" s="180"/>
      <c r="G181" s="180"/>
      <c r="H181" s="180"/>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c r="AU181" s="168"/>
      <c r="AV181" s="168"/>
      <c r="AW181" s="168"/>
    </row>
    <row r="182" spans="1:49" x14ac:dyDescent="0.25">
      <c r="A182" s="180" t="str">
        <f>wp_knife&amp;" "&amp;10</f>
        <v>Knife 10</v>
      </c>
      <c r="B182" s="180">
        <v>4</v>
      </c>
      <c r="C182" s="180">
        <v>4</v>
      </c>
      <c r="D182" s="180">
        <v>5</v>
      </c>
      <c r="E182" s="180"/>
      <c r="F182" s="180"/>
      <c r="G182" s="180"/>
      <c r="H182" s="180"/>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c r="AG182" s="168"/>
      <c r="AH182" s="168"/>
      <c r="AI182" s="168"/>
      <c r="AJ182" s="168"/>
      <c r="AK182" s="168"/>
      <c r="AL182" s="168"/>
      <c r="AM182" s="168"/>
      <c r="AN182" s="168"/>
      <c r="AO182" s="168"/>
      <c r="AP182" s="168"/>
      <c r="AQ182" s="168"/>
      <c r="AR182" s="168"/>
      <c r="AS182" s="168"/>
      <c r="AT182" s="168"/>
      <c r="AU182" s="168"/>
      <c r="AV182" s="168"/>
      <c r="AW182" s="168"/>
    </row>
    <row r="183" spans="1:49" x14ac:dyDescent="0.25">
      <c r="A183" s="180" t="str">
        <f>wp_knife&amp;" "&amp;11</f>
        <v>Knife 11</v>
      </c>
      <c r="B183" s="180">
        <v>4</v>
      </c>
      <c r="C183" s="180">
        <v>4</v>
      </c>
      <c r="D183" s="180">
        <v>5</v>
      </c>
      <c r="E183" s="180"/>
      <c r="F183" s="180"/>
      <c r="G183" s="180"/>
      <c r="H183" s="180"/>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row>
    <row r="184" spans="1:49" x14ac:dyDescent="0.25">
      <c r="A184" s="180" t="str">
        <f>wp_knife&amp;" "&amp;12</f>
        <v>Knife 12</v>
      </c>
      <c r="B184" s="180">
        <v>4</v>
      </c>
      <c r="C184" s="180">
        <v>5</v>
      </c>
      <c r="D184" s="180">
        <v>5</v>
      </c>
      <c r="E184" s="180"/>
      <c r="F184" s="180"/>
      <c r="G184" s="180"/>
      <c r="H184" s="180"/>
      <c r="I184" s="168"/>
      <c r="J184" s="168"/>
      <c r="K184" s="168"/>
      <c r="L184" s="168"/>
      <c r="M184" s="168"/>
      <c r="N184" s="168"/>
      <c r="O184" s="168"/>
      <c r="P184" s="168"/>
      <c r="Q184" s="168"/>
      <c r="R184" s="168"/>
      <c r="S184" s="168"/>
      <c r="T184" s="168"/>
      <c r="U184" s="168"/>
      <c r="V184" s="168"/>
      <c r="W184" s="168"/>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c r="AS184" s="168"/>
      <c r="AT184" s="168"/>
      <c r="AU184" s="168"/>
      <c r="AV184" s="168"/>
      <c r="AW184" s="168"/>
    </row>
    <row r="185" spans="1:49" x14ac:dyDescent="0.25">
      <c r="A185" s="180" t="str">
        <f>wp_knife&amp;" "&amp;13</f>
        <v>Knife 13</v>
      </c>
      <c r="B185" s="180">
        <v>5</v>
      </c>
      <c r="C185" s="180">
        <v>5</v>
      </c>
      <c r="D185" s="180">
        <v>6</v>
      </c>
      <c r="E185" s="180"/>
      <c r="F185" s="180"/>
      <c r="G185" s="180"/>
      <c r="H185" s="180"/>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row>
    <row r="186" spans="1:49" x14ac:dyDescent="0.25">
      <c r="A186" s="180" t="str">
        <f>wp_knife&amp;" "&amp;14</f>
        <v>Knife 14</v>
      </c>
      <c r="B186" s="180">
        <v>5</v>
      </c>
      <c r="C186" s="180">
        <v>5</v>
      </c>
      <c r="D186" s="180">
        <v>6</v>
      </c>
      <c r="E186" s="180"/>
      <c r="F186" s="180"/>
      <c r="G186" s="180"/>
      <c r="H186" s="180"/>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c r="AE186" s="168"/>
      <c r="AF186" s="168"/>
      <c r="AG186" s="168"/>
      <c r="AH186" s="168"/>
      <c r="AI186" s="168"/>
      <c r="AJ186" s="168"/>
      <c r="AK186" s="168"/>
      <c r="AL186" s="168"/>
      <c r="AM186" s="168"/>
      <c r="AN186" s="168"/>
      <c r="AO186" s="168"/>
      <c r="AP186" s="168"/>
      <c r="AQ186" s="168"/>
      <c r="AR186" s="168"/>
      <c r="AS186" s="168"/>
      <c r="AT186" s="168"/>
      <c r="AU186" s="168"/>
      <c r="AV186" s="168"/>
      <c r="AW186" s="168"/>
    </row>
    <row r="187" spans="1:49" x14ac:dyDescent="0.25">
      <c r="A187" s="180" t="str">
        <f>wp_knife&amp;" "&amp;15</f>
        <v>Knife 15</v>
      </c>
      <c r="B187" s="180">
        <v>5</v>
      </c>
      <c r="C187" s="180">
        <v>5</v>
      </c>
      <c r="D187" s="180">
        <v>6</v>
      </c>
      <c r="E187" s="180"/>
      <c r="F187" s="180"/>
      <c r="G187" s="180"/>
      <c r="H187" s="180"/>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168"/>
      <c r="AP187" s="168"/>
      <c r="AQ187" s="168"/>
      <c r="AR187" s="168"/>
      <c r="AS187" s="168"/>
      <c r="AT187" s="168"/>
      <c r="AU187" s="168"/>
      <c r="AV187" s="168"/>
      <c r="AW187" s="168"/>
    </row>
    <row r="188" spans="1:49" x14ac:dyDescent="0.25">
      <c r="A188" s="180" t="str">
        <f>wp_mouth&amp;" "&amp;1</f>
        <v>Mouth Weapons/Blowguns 1</v>
      </c>
      <c r="B188" s="180">
        <v>1</v>
      </c>
      <c r="C188" s="180"/>
      <c r="D188" s="180"/>
      <c r="E188" s="180"/>
      <c r="F188" s="180"/>
      <c r="G188" s="180"/>
      <c r="H188" s="180"/>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row>
    <row r="189" spans="1:49" x14ac:dyDescent="0.25">
      <c r="A189" s="180" t="str">
        <f>wp_mouth&amp;" "&amp;2</f>
        <v>Mouth Weapons/Blowguns 2</v>
      </c>
      <c r="B189" s="180">
        <v>1</v>
      </c>
      <c r="C189" s="180"/>
      <c r="D189" s="180"/>
      <c r="E189" s="180"/>
      <c r="F189" s="180"/>
      <c r="G189" s="180"/>
      <c r="H189" s="180"/>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row>
    <row r="190" spans="1:49" x14ac:dyDescent="0.25">
      <c r="A190" s="180" t="str">
        <f>wp_mouth&amp;" "&amp;3</f>
        <v>Mouth Weapons/Blowguns 3</v>
      </c>
      <c r="B190" s="180">
        <v>1</v>
      </c>
      <c r="C190" s="180"/>
      <c r="D190" s="180"/>
      <c r="E190" s="180"/>
      <c r="F190" s="180"/>
      <c r="G190" s="180"/>
      <c r="H190" s="180"/>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c r="AO190" s="168"/>
      <c r="AP190" s="168"/>
      <c r="AQ190" s="168"/>
      <c r="AR190" s="168"/>
      <c r="AS190" s="168"/>
      <c r="AT190" s="168"/>
      <c r="AU190" s="168"/>
      <c r="AV190" s="168"/>
      <c r="AW190" s="168"/>
    </row>
    <row r="191" spans="1:49" x14ac:dyDescent="0.25">
      <c r="A191" s="180" t="str">
        <f>wp_mouth&amp;" "&amp;4</f>
        <v>Mouth Weapons/Blowguns 4</v>
      </c>
      <c r="B191" s="180">
        <v>2</v>
      </c>
      <c r="C191" s="180"/>
      <c r="D191" s="180"/>
      <c r="E191" s="180"/>
      <c r="F191" s="180"/>
      <c r="G191" s="180"/>
      <c r="H191" s="180"/>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row>
    <row r="192" spans="1:49" x14ac:dyDescent="0.25">
      <c r="A192" s="180" t="str">
        <f>wp_mouth&amp;" "&amp;5</f>
        <v>Mouth Weapons/Blowguns 5</v>
      </c>
      <c r="B192" s="180">
        <v>2</v>
      </c>
      <c r="C192" s="180"/>
      <c r="D192" s="180"/>
      <c r="E192" s="180"/>
      <c r="F192" s="180"/>
      <c r="G192" s="180"/>
      <c r="H192" s="180"/>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168"/>
      <c r="AE192" s="168"/>
      <c r="AF192" s="168"/>
      <c r="AG192" s="168"/>
      <c r="AH192" s="168"/>
      <c r="AI192" s="168"/>
      <c r="AJ192" s="168"/>
      <c r="AK192" s="168"/>
      <c r="AL192" s="168"/>
      <c r="AM192" s="168"/>
      <c r="AN192" s="168"/>
      <c r="AO192" s="168"/>
      <c r="AP192" s="168"/>
      <c r="AQ192" s="168"/>
      <c r="AR192" s="168"/>
      <c r="AS192" s="168"/>
      <c r="AT192" s="168"/>
      <c r="AU192" s="168"/>
      <c r="AV192" s="168"/>
      <c r="AW192" s="168"/>
    </row>
    <row r="193" spans="1:49" x14ac:dyDescent="0.25">
      <c r="A193" s="180" t="str">
        <f>wp_mouth&amp;" "&amp;6</f>
        <v>Mouth Weapons/Blowguns 6</v>
      </c>
      <c r="B193" s="180">
        <v>2</v>
      </c>
      <c r="C193" s="180"/>
      <c r="D193" s="180"/>
      <c r="E193" s="180"/>
      <c r="F193" s="180"/>
      <c r="G193" s="180"/>
      <c r="H193" s="180"/>
      <c r="I193" s="168"/>
      <c r="J193" s="168"/>
      <c r="K193" s="168"/>
      <c r="L193" s="168"/>
      <c r="M193" s="168"/>
      <c r="N193" s="168"/>
      <c r="O193" s="168"/>
      <c r="P193" s="168"/>
      <c r="Q193" s="168"/>
      <c r="R193" s="168"/>
      <c r="S193" s="168"/>
      <c r="T193" s="168"/>
      <c r="U193" s="168"/>
      <c r="V193" s="168"/>
      <c r="W193" s="168"/>
      <c r="X193" s="168"/>
      <c r="Y193" s="168"/>
      <c r="Z193" s="168"/>
      <c r="AA193" s="168"/>
      <c r="AB193" s="168"/>
      <c r="AC193" s="168"/>
      <c r="AD193" s="168"/>
      <c r="AE193" s="168"/>
      <c r="AF193" s="168"/>
      <c r="AG193" s="168"/>
      <c r="AH193" s="168"/>
      <c r="AI193" s="168"/>
      <c r="AJ193" s="168"/>
      <c r="AK193" s="168"/>
      <c r="AL193" s="168"/>
      <c r="AM193" s="168"/>
      <c r="AN193" s="168"/>
      <c r="AO193" s="168"/>
      <c r="AP193" s="168"/>
      <c r="AQ193" s="168"/>
      <c r="AR193" s="168"/>
      <c r="AS193" s="168"/>
      <c r="AT193" s="168"/>
      <c r="AU193" s="168"/>
      <c r="AV193" s="168"/>
      <c r="AW193" s="168"/>
    </row>
    <row r="194" spans="1:49" x14ac:dyDescent="0.25">
      <c r="A194" s="180" t="str">
        <f>wp_mouth&amp;" "&amp;7</f>
        <v>Mouth Weapons/Blowguns 7</v>
      </c>
      <c r="B194" s="180">
        <v>2</v>
      </c>
      <c r="C194" s="180"/>
      <c r="D194" s="180"/>
      <c r="E194" s="180"/>
      <c r="F194" s="180"/>
      <c r="G194" s="180"/>
      <c r="H194" s="180"/>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c r="AO194" s="168"/>
      <c r="AP194" s="168"/>
      <c r="AQ194" s="168"/>
      <c r="AR194" s="168"/>
      <c r="AS194" s="168"/>
      <c r="AT194" s="168"/>
      <c r="AU194" s="168"/>
      <c r="AV194" s="168"/>
      <c r="AW194" s="168"/>
    </row>
    <row r="195" spans="1:49" x14ac:dyDescent="0.25">
      <c r="A195" s="180" t="str">
        <f>wp_mouth&amp;" "&amp;8</f>
        <v>Mouth Weapons/Blowguns 8</v>
      </c>
      <c r="B195" s="180">
        <v>3</v>
      </c>
      <c r="C195" s="180"/>
      <c r="D195" s="180"/>
      <c r="E195" s="180"/>
      <c r="F195" s="180"/>
      <c r="G195" s="180"/>
      <c r="H195" s="180"/>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c r="AW195" s="168"/>
    </row>
    <row r="196" spans="1:49" x14ac:dyDescent="0.25">
      <c r="A196" s="180" t="str">
        <f>wp_mouth&amp;" "&amp;9</f>
        <v>Mouth Weapons/Blowguns 9</v>
      </c>
      <c r="B196" s="180">
        <v>3</v>
      </c>
      <c r="C196" s="180"/>
      <c r="D196" s="180"/>
      <c r="E196" s="180"/>
      <c r="F196" s="180"/>
      <c r="G196" s="180"/>
      <c r="H196" s="180"/>
      <c r="I196" s="168"/>
      <c r="J196" s="168"/>
      <c r="K196" s="168"/>
      <c r="L196" s="168"/>
      <c r="M196" s="168"/>
      <c r="N196" s="168"/>
      <c r="O196" s="168"/>
      <c r="P196" s="168"/>
      <c r="Q196" s="168"/>
      <c r="R196" s="168"/>
      <c r="S196" s="168"/>
      <c r="T196" s="168"/>
      <c r="U196" s="168"/>
      <c r="V196" s="168"/>
      <c r="W196" s="168"/>
      <c r="X196" s="168"/>
      <c r="Y196" s="168"/>
      <c r="Z196" s="168"/>
      <c r="AA196" s="168"/>
      <c r="AB196" s="168"/>
      <c r="AC196" s="168"/>
      <c r="AD196" s="168"/>
      <c r="AE196" s="168"/>
      <c r="AF196" s="168"/>
      <c r="AG196" s="168"/>
      <c r="AH196" s="168"/>
      <c r="AI196" s="168"/>
      <c r="AJ196" s="168"/>
      <c r="AK196" s="168"/>
      <c r="AL196" s="168"/>
      <c r="AM196" s="168"/>
      <c r="AN196" s="168"/>
      <c r="AO196" s="168"/>
      <c r="AP196" s="168"/>
      <c r="AQ196" s="168"/>
      <c r="AR196" s="168"/>
      <c r="AS196" s="168"/>
      <c r="AT196" s="168"/>
      <c r="AU196" s="168"/>
      <c r="AV196" s="168"/>
      <c r="AW196" s="168"/>
    </row>
    <row r="197" spans="1:49" x14ac:dyDescent="0.25">
      <c r="A197" s="180" t="str">
        <f>wp_mouth&amp;" "&amp;10</f>
        <v>Mouth Weapons/Blowguns 10</v>
      </c>
      <c r="B197" s="180">
        <v>3</v>
      </c>
      <c r="C197" s="180"/>
      <c r="D197" s="180"/>
      <c r="E197" s="180"/>
      <c r="F197" s="180"/>
      <c r="G197" s="180"/>
      <c r="H197" s="180"/>
      <c r="I197" s="168"/>
      <c r="J197" s="168"/>
      <c r="K197" s="168"/>
      <c r="L197" s="168"/>
      <c r="M197" s="168"/>
      <c r="N197" s="168"/>
      <c r="O197" s="168"/>
      <c r="P197" s="168"/>
      <c r="Q197" s="168"/>
      <c r="R197" s="168"/>
      <c r="S197" s="168"/>
      <c r="T197" s="168"/>
      <c r="U197" s="168"/>
      <c r="V197" s="168"/>
      <c r="W197" s="168"/>
      <c r="X197" s="168"/>
      <c r="Y197" s="168"/>
      <c r="Z197" s="168"/>
      <c r="AA197" s="168"/>
      <c r="AB197" s="168"/>
      <c r="AC197" s="168"/>
      <c r="AD197" s="168"/>
      <c r="AE197" s="168"/>
      <c r="AF197" s="168"/>
      <c r="AG197" s="168"/>
      <c r="AH197" s="168"/>
      <c r="AI197" s="168"/>
      <c r="AJ197" s="168"/>
      <c r="AK197" s="168"/>
      <c r="AL197" s="168"/>
      <c r="AM197" s="168"/>
      <c r="AN197" s="168"/>
      <c r="AO197" s="168"/>
      <c r="AP197" s="168"/>
      <c r="AQ197" s="168"/>
      <c r="AR197" s="168"/>
      <c r="AS197" s="168"/>
      <c r="AT197" s="168"/>
      <c r="AU197" s="168"/>
      <c r="AV197" s="168"/>
      <c r="AW197" s="168"/>
    </row>
    <row r="198" spans="1:49" x14ac:dyDescent="0.25">
      <c r="A198" s="180" t="str">
        <f>wp_mouth&amp;" "&amp;11</f>
        <v>Mouth Weapons/Blowguns 11</v>
      </c>
      <c r="B198" s="180">
        <v>3</v>
      </c>
      <c r="C198" s="180"/>
      <c r="D198" s="180"/>
      <c r="E198" s="180"/>
      <c r="F198" s="180"/>
      <c r="G198" s="180"/>
      <c r="H198" s="180"/>
      <c r="I198" s="168"/>
      <c r="J198" s="168"/>
      <c r="K198" s="168"/>
      <c r="L198" s="168"/>
      <c r="M198" s="168"/>
      <c r="N198" s="168"/>
      <c r="O198" s="168"/>
      <c r="P198" s="168"/>
      <c r="Q198" s="168"/>
      <c r="R198" s="168"/>
      <c r="S198" s="168"/>
      <c r="T198" s="168"/>
      <c r="U198" s="168"/>
      <c r="V198" s="168"/>
      <c r="W198" s="168"/>
      <c r="X198" s="168"/>
      <c r="Y198" s="168"/>
      <c r="Z198" s="168"/>
      <c r="AA198" s="168"/>
      <c r="AB198" s="168"/>
      <c r="AC198" s="168"/>
      <c r="AD198" s="168"/>
      <c r="AE198" s="168"/>
      <c r="AF198" s="168"/>
      <c r="AG198" s="168"/>
      <c r="AH198" s="168"/>
      <c r="AI198" s="168"/>
      <c r="AJ198" s="168"/>
      <c r="AK198" s="168"/>
      <c r="AL198" s="168"/>
      <c r="AM198" s="168"/>
      <c r="AN198" s="168"/>
      <c r="AO198" s="168"/>
      <c r="AP198" s="168"/>
      <c r="AQ198" s="168"/>
      <c r="AR198" s="168"/>
      <c r="AS198" s="168"/>
      <c r="AT198" s="168"/>
      <c r="AU198" s="168"/>
      <c r="AV198" s="168"/>
      <c r="AW198" s="168"/>
    </row>
    <row r="199" spans="1:49" x14ac:dyDescent="0.25">
      <c r="A199" s="180" t="str">
        <f>wp_mouth&amp;" "&amp;12</f>
        <v>Mouth Weapons/Blowguns 12</v>
      </c>
      <c r="B199" s="180">
        <v>4</v>
      </c>
      <c r="C199" s="180"/>
      <c r="D199" s="180"/>
      <c r="E199" s="180"/>
      <c r="F199" s="180"/>
      <c r="G199" s="180"/>
      <c r="H199" s="180"/>
      <c r="I199" s="168"/>
      <c r="J199" s="168"/>
      <c r="K199" s="168"/>
      <c r="L199" s="168"/>
      <c r="M199" s="168"/>
      <c r="N199" s="168"/>
      <c r="O199" s="168"/>
      <c r="P199" s="168"/>
      <c r="Q199" s="168"/>
      <c r="R199" s="168"/>
      <c r="S199" s="168"/>
      <c r="T199" s="168"/>
      <c r="U199" s="168"/>
      <c r="V199" s="168"/>
      <c r="W199" s="168"/>
      <c r="X199" s="168"/>
      <c r="Y199" s="168"/>
      <c r="Z199" s="168"/>
      <c r="AA199" s="168"/>
      <c r="AB199" s="168"/>
      <c r="AC199" s="168"/>
      <c r="AD199" s="168"/>
      <c r="AE199" s="168"/>
      <c r="AF199" s="168"/>
      <c r="AG199" s="168"/>
      <c r="AH199" s="168"/>
      <c r="AI199" s="168"/>
      <c r="AJ199" s="168"/>
      <c r="AK199" s="168"/>
      <c r="AL199" s="168"/>
      <c r="AM199" s="168"/>
      <c r="AN199" s="168"/>
      <c r="AO199" s="168"/>
      <c r="AP199" s="168"/>
      <c r="AQ199" s="168"/>
      <c r="AR199" s="168"/>
      <c r="AS199" s="168"/>
      <c r="AT199" s="168"/>
      <c r="AU199" s="168"/>
      <c r="AV199" s="168"/>
      <c r="AW199" s="168"/>
    </row>
    <row r="200" spans="1:49" x14ac:dyDescent="0.25">
      <c r="A200" s="180" t="str">
        <f>wp_mouth&amp;" "&amp;13</f>
        <v>Mouth Weapons/Blowguns 13</v>
      </c>
      <c r="B200" s="180">
        <v>4</v>
      </c>
      <c r="C200" s="180"/>
      <c r="D200" s="180"/>
      <c r="E200" s="180"/>
      <c r="F200" s="180"/>
      <c r="G200" s="180"/>
      <c r="H200" s="180"/>
      <c r="I200" s="168"/>
      <c r="J200" s="168"/>
      <c r="K200" s="168"/>
      <c r="L200" s="168"/>
      <c r="M200" s="168"/>
      <c r="N200" s="168"/>
      <c r="O200" s="168"/>
      <c r="P200" s="168"/>
      <c r="Q200" s="168"/>
      <c r="R200" s="168"/>
      <c r="S200" s="168"/>
      <c r="T200" s="168"/>
      <c r="U200" s="168"/>
      <c r="V200" s="168"/>
      <c r="W200" s="168"/>
      <c r="X200" s="168"/>
      <c r="Y200" s="168"/>
      <c r="Z200" s="168"/>
      <c r="AA200" s="168"/>
      <c r="AB200" s="168"/>
      <c r="AC200" s="168"/>
      <c r="AD200" s="168"/>
      <c r="AE200" s="168"/>
      <c r="AF200" s="168"/>
      <c r="AG200" s="168"/>
      <c r="AH200" s="168"/>
      <c r="AI200" s="168"/>
      <c r="AJ200" s="168"/>
      <c r="AK200" s="168"/>
      <c r="AL200" s="168"/>
      <c r="AM200" s="168"/>
      <c r="AN200" s="168"/>
      <c r="AO200" s="168"/>
      <c r="AP200" s="168"/>
      <c r="AQ200" s="168"/>
      <c r="AR200" s="168"/>
      <c r="AS200" s="168"/>
      <c r="AT200" s="168"/>
      <c r="AU200" s="168"/>
      <c r="AV200" s="168"/>
      <c r="AW200" s="168"/>
    </row>
    <row r="201" spans="1:49" x14ac:dyDescent="0.25">
      <c r="A201" s="180" t="str">
        <f>wp_mouth&amp;" "&amp;14</f>
        <v>Mouth Weapons/Blowguns 14</v>
      </c>
      <c r="B201" s="180">
        <v>4</v>
      </c>
      <c r="C201" s="180"/>
      <c r="D201" s="180"/>
      <c r="E201" s="180"/>
      <c r="F201" s="180"/>
      <c r="G201" s="180"/>
      <c r="H201" s="180"/>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row>
    <row r="202" spans="1:49" x14ac:dyDescent="0.25">
      <c r="A202" s="180" t="str">
        <f>wp_mouth&amp;" "&amp;15</f>
        <v>Mouth Weapons/Blowguns 15</v>
      </c>
      <c r="B202" s="180">
        <v>4</v>
      </c>
      <c r="C202" s="180"/>
      <c r="D202" s="180"/>
      <c r="E202" s="180"/>
      <c r="F202" s="180"/>
      <c r="G202" s="180"/>
      <c r="H202" s="180"/>
      <c r="I202" s="168"/>
      <c r="J202" s="168"/>
      <c r="K202" s="168"/>
      <c r="L202" s="168"/>
      <c r="M202" s="168"/>
      <c r="N202" s="168"/>
      <c r="O202" s="168"/>
      <c r="P202" s="168"/>
      <c r="Q202" s="168"/>
      <c r="R202" s="168"/>
      <c r="S202" s="168"/>
      <c r="T202" s="168"/>
      <c r="U202" s="168"/>
      <c r="V202" s="168"/>
      <c r="W202" s="168"/>
      <c r="X202" s="168"/>
      <c r="Y202" s="168"/>
      <c r="Z202" s="168"/>
      <c r="AA202" s="168"/>
      <c r="AB202" s="168"/>
      <c r="AC202" s="168"/>
      <c r="AD202" s="168"/>
      <c r="AE202" s="168"/>
      <c r="AF202" s="168"/>
      <c r="AG202" s="168"/>
      <c r="AH202" s="168"/>
      <c r="AI202" s="168"/>
      <c r="AJ202" s="168"/>
      <c r="AK202" s="168"/>
      <c r="AL202" s="168"/>
      <c r="AM202" s="168"/>
      <c r="AN202" s="168"/>
      <c r="AO202" s="168"/>
      <c r="AP202" s="168"/>
      <c r="AQ202" s="168"/>
      <c r="AR202" s="168"/>
      <c r="AS202" s="168"/>
      <c r="AT202" s="168"/>
      <c r="AU202" s="168"/>
      <c r="AV202" s="168"/>
      <c r="AW202" s="168"/>
    </row>
    <row r="203" spans="1:49" x14ac:dyDescent="0.25">
      <c r="A203" s="180" t="str">
        <f>wp_net&amp;" "&amp;1</f>
        <v>Net 1</v>
      </c>
      <c r="B203" s="180"/>
      <c r="C203" s="180"/>
      <c r="D203" s="180"/>
      <c r="E203" s="180"/>
      <c r="F203" s="180"/>
      <c r="G203" s="180"/>
      <c r="H203" s="180"/>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row>
    <row r="204" spans="1:49" x14ac:dyDescent="0.25">
      <c r="A204" s="180" t="str">
        <f>wp_net&amp;" "&amp;2</f>
        <v>Net 2</v>
      </c>
      <c r="B204" s="180">
        <v>1</v>
      </c>
      <c r="C204" s="180">
        <v>1</v>
      </c>
      <c r="D204" s="180"/>
      <c r="E204" s="180">
        <v>1</v>
      </c>
      <c r="F204" s="180"/>
      <c r="G204" s="180"/>
      <c r="H204" s="180"/>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c r="AO204" s="168"/>
      <c r="AP204" s="168"/>
      <c r="AQ204" s="168"/>
      <c r="AR204" s="168"/>
      <c r="AS204" s="168"/>
      <c r="AT204" s="168"/>
      <c r="AU204" s="168"/>
      <c r="AV204" s="168"/>
      <c r="AW204" s="168"/>
    </row>
    <row r="205" spans="1:49" x14ac:dyDescent="0.25">
      <c r="A205" s="180" t="str">
        <f>wp_net&amp;" "&amp;3</f>
        <v>Net 3</v>
      </c>
      <c r="B205" s="180">
        <v>1</v>
      </c>
      <c r="C205" s="180">
        <v>1</v>
      </c>
      <c r="D205" s="180"/>
      <c r="E205" s="180">
        <v>1</v>
      </c>
      <c r="F205" s="180"/>
      <c r="G205" s="180"/>
      <c r="H205" s="180"/>
      <c r="I205" s="168"/>
      <c r="J205" s="168"/>
      <c r="K205" s="168"/>
      <c r="L205" s="168"/>
      <c r="M205" s="168"/>
      <c r="N205" s="168"/>
      <c r="O205" s="168"/>
      <c r="P205" s="168"/>
      <c r="Q205" s="168"/>
      <c r="R205" s="168"/>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c r="AO205" s="168"/>
      <c r="AP205" s="168"/>
      <c r="AQ205" s="168"/>
      <c r="AR205" s="168"/>
      <c r="AS205" s="168"/>
      <c r="AT205" s="168"/>
      <c r="AU205" s="168"/>
      <c r="AV205" s="168"/>
      <c r="AW205" s="168"/>
    </row>
    <row r="206" spans="1:49" x14ac:dyDescent="0.25">
      <c r="A206" s="180" t="str">
        <f>wp_net&amp;" "&amp;4</f>
        <v>Net 4</v>
      </c>
      <c r="B206" s="180">
        <v>1</v>
      </c>
      <c r="C206" s="180">
        <v>2</v>
      </c>
      <c r="D206" s="180"/>
      <c r="E206" s="180">
        <v>1</v>
      </c>
      <c r="F206" s="180"/>
      <c r="G206" s="180"/>
      <c r="H206" s="180"/>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168"/>
      <c r="AP206" s="168"/>
      <c r="AQ206" s="168"/>
      <c r="AR206" s="168"/>
      <c r="AS206" s="168"/>
      <c r="AT206" s="168"/>
      <c r="AU206" s="168"/>
      <c r="AV206" s="168"/>
      <c r="AW206" s="168"/>
    </row>
    <row r="207" spans="1:49" x14ac:dyDescent="0.25">
      <c r="A207" s="180" t="str">
        <f>wp_net&amp;" "&amp;5</f>
        <v>Net 5</v>
      </c>
      <c r="B207" s="180">
        <v>2</v>
      </c>
      <c r="C207" s="180">
        <v>2</v>
      </c>
      <c r="D207" s="180"/>
      <c r="E207" s="180">
        <v>2</v>
      </c>
      <c r="F207" s="180"/>
      <c r="G207" s="180"/>
      <c r="H207" s="180"/>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c r="AW207" s="168"/>
    </row>
    <row r="208" spans="1:49" x14ac:dyDescent="0.25">
      <c r="A208" s="180" t="str">
        <f>wp_net&amp;" "&amp;6</f>
        <v>Net 6</v>
      </c>
      <c r="B208" s="180">
        <v>2</v>
      </c>
      <c r="C208" s="180">
        <v>3</v>
      </c>
      <c r="D208" s="180"/>
      <c r="E208" s="180">
        <v>2</v>
      </c>
      <c r="F208" s="180"/>
      <c r="G208" s="180"/>
      <c r="H208" s="180"/>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c r="AO208" s="168"/>
      <c r="AP208" s="168"/>
      <c r="AQ208" s="168"/>
      <c r="AR208" s="168"/>
      <c r="AS208" s="168"/>
      <c r="AT208" s="168"/>
      <c r="AU208" s="168"/>
      <c r="AV208" s="168"/>
      <c r="AW208" s="168"/>
    </row>
    <row r="209" spans="1:49" x14ac:dyDescent="0.25">
      <c r="A209" s="180" t="str">
        <f>wp_net&amp;" "&amp;7</f>
        <v>Net 7</v>
      </c>
      <c r="B209" s="180">
        <v>2</v>
      </c>
      <c r="C209" s="180">
        <v>3</v>
      </c>
      <c r="D209" s="180"/>
      <c r="E209" s="180">
        <v>2</v>
      </c>
      <c r="F209" s="180"/>
      <c r="G209" s="180"/>
      <c r="H209" s="180"/>
      <c r="I209" s="168"/>
      <c r="J209" s="168"/>
      <c r="K209" s="168"/>
      <c r="L209" s="168"/>
      <c r="M209" s="168"/>
      <c r="N209" s="168"/>
      <c r="O209" s="168"/>
      <c r="P209" s="168"/>
      <c r="Q209" s="168"/>
      <c r="R209" s="168"/>
      <c r="S209" s="168"/>
      <c r="T209" s="168"/>
      <c r="U209" s="168"/>
      <c r="V209" s="168"/>
      <c r="W209" s="168"/>
      <c r="X209" s="168"/>
      <c r="Y209" s="168"/>
      <c r="Z209" s="168"/>
      <c r="AA209" s="168"/>
      <c r="AB209" s="168"/>
      <c r="AC209" s="168"/>
      <c r="AD209" s="168"/>
      <c r="AE209" s="168"/>
      <c r="AF209" s="168"/>
      <c r="AG209" s="168"/>
      <c r="AH209" s="168"/>
      <c r="AI209" s="168"/>
      <c r="AJ209" s="168"/>
      <c r="AK209" s="168"/>
      <c r="AL209" s="168"/>
      <c r="AM209" s="168"/>
      <c r="AN209" s="168"/>
      <c r="AO209" s="168"/>
      <c r="AP209" s="168"/>
      <c r="AQ209" s="168"/>
      <c r="AR209" s="168"/>
      <c r="AS209" s="168"/>
      <c r="AT209" s="168"/>
      <c r="AU209" s="168"/>
      <c r="AV209" s="168"/>
      <c r="AW209" s="168"/>
    </row>
    <row r="210" spans="1:49" x14ac:dyDescent="0.25">
      <c r="A210" s="180" t="str">
        <f>wp_net&amp;" "&amp;8</f>
        <v>Net 8</v>
      </c>
      <c r="B210" s="180">
        <v>3</v>
      </c>
      <c r="C210" s="180">
        <v>3</v>
      </c>
      <c r="D210" s="180"/>
      <c r="E210" s="180">
        <v>3</v>
      </c>
      <c r="F210" s="180"/>
      <c r="G210" s="180"/>
      <c r="H210" s="180"/>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c r="AO210" s="168"/>
      <c r="AP210" s="168"/>
      <c r="AQ210" s="168"/>
      <c r="AR210" s="168"/>
      <c r="AS210" s="168"/>
      <c r="AT210" s="168"/>
      <c r="AU210" s="168"/>
      <c r="AV210" s="168"/>
      <c r="AW210" s="168"/>
    </row>
    <row r="211" spans="1:49" x14ac:dyDescent="0.25">
      <c r="A211" s="180" t="str">
        <f>wp_net&amp;" "&amp;9</f>
        <v>Net 9</v>
      </c>
      <c r="B211" s="180">
        <v>3</v>
      </c>
      <c r="C211" s="180">
        <v>4</v>
      </c>
      <c r="D211" s="180"/>
      <c r="E211" s="180">
        <v>3</v>
      </c>
      <c r="F211" s="180"/>
      <c r="G211" s="180"/>
      <c r="H211" s="180"/>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c r="AO211" s="168"/>
      <c r="AP211" s="168"/>
      <c r="AQ211" s="168"/>
      <c r="AR211" s="168"/>
      <c r="AS211" s="168"/>
      <c r="AT211" s="168"/>
      <c r="AU211" s="168"/>
      <c r="AV211" s="168"/>
      <c r="AW211" s="168"/>
    </row>
    <row r="212" spans="1:49" x14ac:dyDescent="0.25">
      <c r="A212" s="180" t="str">
        <f>wp_net&amp;" "&amp;10</f>
        <v>Net 10</v>
      </c>
      <c r="B212" s="180">
        <v>3</v>
      </c>
      <c r="C212" s="180">
        <v>4</v>
      </c>
      <c r="D212" s="180"/>
      <c r="E212" s="180">
        <v>3</v>
      </c>
      <c r="F212" s="180"/>
      <c r="G212" s="180"/>
      <c r="H212" s="180"/>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c r="AO212" s="168"/>
      <c r="AP212" s="168"/>
      <c r="AQ212" s="168"/>
      <c r="AR212" s="168"/>
      <c r="AS212" s="168"/>
      <c r="AT212" s="168"/>
      <c r="AU212" s="168"/>
      <c r="AV212" s="168"/>
      <c r="AW212" s="168"/>
    </row>
    <row r="213" spans="1:49" x14ac:dyDescent="0.25">
      <c r="A213" s="180" t="str">
        <f>wp_net&amp;" "&amp;11</f>
        <v>Net 11</v>
      </c>
      <c r="B213" s="180">
        <v>4</v>
      </c>
      <c r="C213" s="180">
        <v>4</v>
      </c>
      <c r="D213" s="180"/>
      <c r="E213" s="180">
        <v>4</v>
      </c>
      <c r="F213" s="180"/>
      <c r="G213" s="180"/>
      <c r="H213" s="180"/>
      <c r="I213" s="168"/>
      <c r="J213" s="168"/>
      <c r="K213" s="168"/>
      <c r="L213" s="168"/>
      <c r="M213" s="168"/>
      <c r="N213" s="168"/>
      <c r="O213" s="168"/>
      <c r="P213" s="168"/>
      <c r="Q213" s="168"/>
      <c r="R213" s="168"/>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c r="AO213" s="168"/>
      <c r="AP213" s="168"/>
      <c r="AQ213" s="168"/>
      <c r="AR213" s="168"/>
      <c r="AS213" s="168"/>
      <c r="AT213" s="168"/>
      <c r="AU213" s="168"/>
      <c r="AV213" s="168"/>
      <c r="AW213" s="168"/>
    </row>
    <row r="214" spans="1:49" x14ac:dyDescent="0.25">
      <c r="A214" s="180" t="str">
        <f>wp_net&amp;" "&amp;12</f>
        <v>Net 12</v>
      </c>
      <c r="B214" s="180">
        <v>4</v>
      </c>
      <c r="C214" s="180">
        <v>5</v>
      </c>
      <c r="D214" s="180"/>
      <c r="E214" s="180">
        <v>4</v>
      </c>
      <c r="F214" s="180"/>
      <c r="G214" s="180"/>
      <c r="H214" s="180"/>
      <c r="I214" s="168"/>
      <c r="J214" s="168"/>
      <c r="K214" s="168"/>
      <c r="L214" s="168"/>
      <c r="M214" s="168"/>
      <c r="N214" s="168"/>
      <c r="O214" s="168"/>
      <c r="P214" s="168"/>
      <c r="Q214" s="168"/>
      <c r="R214" s="168"/>
      <c r="S214" s="168"/>
      <c r="T214" s="168"/>
      <c r="U214" s="168"/>
      <c r="V214" s="168"/>
      <c r="W214" s="168"/>
      <c r="X214" s="168"/>
      <c r="Y214" s="168"/>
      <c r="Z214" s="168"/>
      <c r="AA214" s="168"/>
      <c r="AB214" s="168"/>
      <c r="AC214" s="168"/>
      <c r="AD214" s="168"/>
      <c r="AE214" s="168"/>
      <c r="AF214" s="168"/>
      <c r="AG214" s="168"/>
      <c r="AH214" s="168"/>
      <c r="AI214" s="168"/>
      <c r="AJ214" s="168"/>
      <c r="AK214" s="168"/>
      <c r="AL214" s="168"/>
      <c r="AM214" s="168"/>
      <c r="AN214" s="168"/>
      <c r="AO214" s="168"/>
      <c r="AP214" s="168"/>
      <c r="AQ214" s="168"/>
      <c r="AR214" s="168"/>
      <c r="AS214" s="168"/>
      <c r="AT214" s="168"/>
      <c r="AU214" s="168"/>
      <c r="AV214" s="168"/>
      <c r="AW214" s="168"/>
    </row>
    <row r="215" spans="1:49" x14ac:dyDescent="0.25">
      <c r="A215" s="180" t="str">
        <f>wp_net&amp;" "&amp;13</f>
        <v>Net 13</v>
      </c>
      <c r="B215" s="180">
        <v>4</v>
      </c>
      <c r="C215" s="180">
        <v>5</v>
      </c>
      <c r="D215" s="180"/>
      <c r="E215" s="180">
        <v>4</v>
      </c>
      <c r="F215" s="180"/>
      <c r="G215" s="180"/>
      <c r="H215" s="180"/>
      <c r="I215" s="168"/>
      <c r="J215" s="168"/>
      <c r="K215" s="168"/>
      <c r="L215" s="168"/>
      <c r="M215" s="168"/>
      <c r="N215" s="168"/>
      <c r="O215" s="168"/>
      <c r="P215" s="168"/>
      <c r="Q215" s="168"/>
      <c r="R215" s="168"/>
      <c r="S215" s="168"/>
      <c r="T215" s="168"/>
      <c r="U215" s="168"/>
      <c r="V215" s="168"/>
      <c r="W215" s="168"/>
      <c r="X215" s="168"/>
      <c r="Y215" s="168"/>
      <c r="Z215" s="168"/>
      <c r="AA215" s="168"/>
      <c r="AB215" s="168"/>
      <c r="AC215" s="168"/>
      <c r="AD215" s="168"/>
      <c r="AE215" s="168"/>
      <c r="AF215" s="168"/>
      <c r="AG215" s="168"/>
      <c r="AH215" s="168"/>
      <c r="AI215" s="168"/>
      <c r="AJ215" s="168"/>
      <c r="AK215" s="168"/>
      <c r="AL215" s="168"/>
      <c r="AM215" s="168"/>
      <c r="AN215" s="168"/>
      <c r="AO215" s="168"/>
      <c r="AP215" s="168"/>
      <c r="AQ215" s="168"/>
      <c r="AR215" s="168"/>
      <c r="AS215" s="168"/>
      <c r="AT215" s="168"/>
      <c r="AU215" s="168"/>
      <c r="AV215" s="168"/>
      <c r="AW215" s="168"/>
    </row>
    <row r="216" spans="1:49" x14ac:dyDescent="0.25">
      <c r="A216" s="180" t="str">
        <f>wp_net&amp;" "&amp;14</f>
        <v>Net 14</v>
      </c>
      <c r="B216" s="180">
        <v>4</v>
      </c>
      <c r="C216" s="180">
        <v>5</v>
      </c>
      <c r="D216" s="180"/>
      <c r="E216" s="180">
        <v>4</v>
      </c>
      <c r="F216" s="180"/>
      <c r="G216" s="180"/>
      <c r="H216" s="180"/>
      <c r="I216" s="168"/>
      <c r="J216" s="168"/>
      <c r="K216" s="168"/>
      <c r="L216" s="168"/>
      <c r="M216" s="168"/>
      <c r="N216" s="168"/>
      <c r="O216" s="168"/>
      <c r="P216" s="168"/>
      <c r="Q216" s="168"/>
      <c r="R216" s="168"/>
      <c r="S216" s="168"/>
      <c r="T216" s="168"/>
      <c r="U216" s="168"/>
      <c r="V216" s="168"/>
      <c r="W216" s="168"/>
      <c r="X216" s="168"/>
      <c r="Y216" s="168"/>
      <c r="Z216" s="168"/>
      <c r="AA216" s="168"/>
      <c r="AB216" s="168"/>
      <c r="AC216" s="168"/>
      <c r="AD216" s="168"/>
      <c r="AE216" s="168"/>
      <c r="AF216" s="168"/>
      <c r="AG216" s="168"/>
      <c r="AH216" s="168"/>
      <c r="AI216" s="168"/>
      <c r="AJ216" s="168"/>
      <c r="AK216" s="168"/>
      <c r="AL216" s="168"/>
      <c r="AM216" s="168"/>
      <c r="AN216" s="168"/>
      <c r="AO216" s="168"/>
      <c r="AP216" s="168"/>
      <c r="AQ216" s="168"/>
      <c r="AR216" s="168"/>
      <c r="AS216" s="168"/>
      <c r="AT216" s="168"/>
      <c r="AU216" s="168"/>
      <c r="AV216" s="168"/>
      <c r="AW216" s="168"/>
    </row>
    <row r="217" spans="1:49" x14ac:dyDescent="0.25">
      <c r="A217" s="180" t="str">
        <f>wp_net&amp;" "&amp;15</f>
        <v>Net 15</v>
      </c>
      <c r="B217" s="180">
        <v>5</v>
      </c>
      <c r="C217" s="180">
        <v>5</v>
      </c>
      <c r="D217" s="180"/>
      <c r="E217" s="180">
        <v>5</v>
      </c>
      <c r="F217" s="180"/>
      <c r="G217" s="180"/>
      <c r="H217" s="180"/>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E217" s="168"/>
      <c r="AF217" s="168"/>
      <c r="AG217" s="168"/>
      <c r="AH217" s="168"/>
      <c r="AI217" s="168"/>
      <c r="AJ217" s="168"/>
      <c r="AK217" s="168"/>
      <c r="AL217" s="168"/>
      <c r="AM217" s="168"/>
      <c r="AN217" s="168"/>
      <c r="AO217" s="168"/>
      <c r="AP217" s="168"/>
      <c r="AQ217" s="168"/>
      <c r="AR217" s="168"/>
      <c r="AS217" s="168"/>
      <c r="AT217" s="168"/>
      <c r="AU217" s="168"/>
      <c r="AV217" s="168"/>
      <c r="AW217" s="168"/>
    </row>
    <row r="218" spans="1:49" x14ac:dyDescent="0.25">
      <c r="A218" s="180" t="str">
        <f>wp_pole&amp;" "&amp;1</f>
        <v>Pole Arm 1</v>
      </c>
      <c r="B218" s="180">
        <v>1</v>
      </c>
      <c r="C218" s="180">
        <v>1</v>
      </c>
      <c r="D218" s="180"/>
      <c r="E218" s="180"/>
      <c r="F218" s="180"/>
      <c r="G218" s="180"/>
      <c r="H218" s="180"/>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c r="AO218" s="168"/>
      <c r="AP218" s="168"/>
      <c r="AQ218" s="168"/>
      <c r="AR218" s="168"/>
      <c r="AS218" s="168"/>
      <c r="AT218" s="168"/>
      <c r="AU218" s="168"/>
      <c r="AV218" s="168"/>
      <c r="AW218" s="168"/>
    </row>
    <row r="219" spans="1:49" x14ac:dyDescent="0.25">
      <c r="A219" s="180" t="str">
        <f>wp_pole&amp;" "&amp;2</f>
        <v>Pole Arm 2</v>
      </c>
      <c r="B219" s="180">
        <v>1</v>
      </c>
      <c r="C219" s="180">
        <v>1</v>
      </c>
      <c r="D219" s="180"/>
      <c r="E219" s="180"/>
      <c r="F219" s="180">
        <v>2</v>
      </c>
      <c r="G219" s="180"/>
      <c r="H219" s="180"/>
      <c r="I219" s="168"/>
      <c r="J219" s="168"/>
      <c r="K219" s="168"/>
      <c r="L219" s="168"/>
      <c r="M219" s="168"/>
      <c r="N219" s="168"/>
      <c r="O219" s="168"/>
      <c r="P219" s="168"/>
      <c r="Q219" s="168"/>
      <c r="R219" s="168"/>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c r="AO219" s="168"/>
      <c r="AP219" s="168"/>
      <c r="AQ219" s="168"/>
      <c r="AR219" s="168"/>
      <c r="AS219" s="168"/>
      <c r="AT219" s="168"/>
      <c r="AU219" s="168"/>
      <c r="AV219" s="168"/>
      <c r="AW219" s="168"/>
    </row>
    <row r="220" spans="1:49" x14ac:dyDescent="0.25">
      <c r="A220" s="180" t="str">
        <f>wp_pole&amp;" "&amp;3</f>
        <v>Pole Arm 3</v>
      </c>
      <c r="B220" s="180">
        <v>2</v>
      </c>
      <c r="C220" s="180">
        <v>2</v>
      </c>
      <c r="D220" s="180">
        <v>1</v>
      </c>
      <c r="E220" s="180"/>
      <c r="F220" s="180">
        <v>2</v>
      </c>
      <c r="G220" s="180"/>
      <c r="H220" s="180"/>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168"/>
      <c r="AP220" s="168"/>
      <c r="AQ220" s="168"/>
      <c r="AR220" s="168"/>
      <c r="AS220" s="168"/>
      <c r="AT220" s="168"/>
      <c r="AU220" s="168"/>
      <c r="AV220" s="168"/>
      <c r="AW220" s="168"/>
    </row>
    <row r="221" spans="1:49" x14ac:dyDescent="0.25">
      <c r="A221" s="180" t="str">
        <f>wp_pole&amp;" "&amp;4</f>
        <v>Pole Arm 4</v>
      </c>
      <c r="B221" s="180">
        <v>2</v>
      </c>
      <c r="C221" s="180">
        <v>2</v>
      </c>
      <c r="D221" s="180">
        <v>1</v>
      </c>
      <c r="E221" s="180"/>
      <c r="F221" s="180">
        <v>2</v>
      </c>
      <c r="G221" s="180"/>
      <c r="H221" s="180"/>
      <c r="I221" s="168"/>
      <c r="J221" s="168"/>
      <c r="K221" s="168"/>
      <c r="L221" s="168"/>
      <c r="M221" s="168"/>
      <c r="N221" s="168"/>
      <c r="O221" s="168"/>
      <c r="P221" s="168"/>
      <c r="Q221" s="168"/>
      <c r="R221" s="168"/>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c r="AO221" s="168"/>
      <c r="AP221" s="168"/>
      <c r="AQ221" s="168"/>
      <c r="AR221" s="168"/>
      <c r="AS221" s="168"/>
      <c r="AT221" s="168"/>
      <c r="AU221" s="168"/>
      <c r="AV221" s="168"/>
      <c r="AW221" s="168"/>
    </row>
    <row r="222" spans="1:49" x14ac:dyDescent="0.25">
      <c r="A222" s="180" t="str">
        <f>wp_pole&amp;" "&amp;5</f>
        <v>Pole Arm 5</v>
      </c>
      <c r="B222" s="180">
        <v>2</v>
      </c>
      <c r="C222" s="180">
        <v>2</v>
      </c>
      <c r="D222" s="180">
        <v>1</v>
      </c>
      <c r="E222" s="180"/>
      <c r="F222" s="180">
        <v>2</v>
      </c>
      <c r="G222" s="180"/>
      <c r="H222" s="180"/>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c r="AO222" s="168"/>
      <c r="AP222" s="168"/>
      <c r="AQ222" s="168"/>
      <c r="AR222" s="168"/>
      <c r="AS222" s="168"/>
      <c r="AT222" s="168"/>
      <c r="AU222" s="168"/>
      <c r="AV222" s="168"/>
      <c r="AW222" s="168"/>
    </row>
    <row r="223" spans="1:49" x14ac:dyDescent="0.25">
      <c r="A223" s="180" t="str">
        <f>wp_pole&amp;" "&amp;6</f>
        <v>Pole Arm 6</v>
      </c>
      <c r="B223" s="180">
        <v>3</v>
      </c>
      <c r="C223" s="180">
        <v>3</v>
      </c>
      <c r="D223" s="180">
        <v>1</v>
      </c>
      <c r="E223" s="180"/>
      <c r="F223" s="180">
        <v>2</v>
      </c>
      <c r="G223" s="180"/>
      <c r="H223" s="180"/>
      <c r="I223" s="168"/>
      <c r="J223" s="168"/>
      <c r="K223" s="168"/>
      <c r="L223" s="168"/>
      <c r="M223" s="168"/>
      <c r="N223" s="168"/>
      <c r="O223" s="168"/>
      <c r="P223" s="168"/>
      <c r="Q223" s="168"/>
      <c r="R223" s="168"/>
      <c r="S223" s="168"/>
      <c r="T223" s="168"/>
      <c r="U223" s="168"/>
      <c r="V223" s="168"/>
      <c r="W223" s="168"/>
      <c r="X223" s="168"/>
      <c r="Y223" s="168"/>
      <c r="Z223" s="168"/>
      <c r="AA223" s="168"/>
      <c r="AB223" s="168"/>
      <c r="AC223" s="168"/>
      <c r="AD223" s="168"/>
      <c r="AE223" s="168"/>
      <c r="AF223" s="168"/>
      <c r="AG223" s="168"/>
      <c r="AH223" s="168"/>
      <c r="AI223" s="168"/>
      <c r="AJ223" s="168"/>
      <c r="AK223" s="168"/>
      <c r="AL223" s="168"/>
      <c r="AM223" s="168"/>
      <c r="AN223" s="168"/>
      <c r="AO223" s="168"/>
      <c r="AP223" s="168"/>
      <c r="AQ223" s="168"/>
      <c r="AR223" s="168"/>
      <c r="AS223" s="168"/>
      <c r="AT223" s="168"/>
      <c r="AU223" s="168"/>
      <c r="AV223" s="168"/>
      <c r="AW223" s="168"/>
    </row>
    <row r="224" spans="1:49" x14ac:dyDescent="0.25">
      <c r="A224" s="180" t="str">
        <f>wp_pole&amp;" "&amp;7</f>
        <v>Pole Arm 7</v>
      </c>
      <c r="B224" s="180">
        <v>3</v>
      </c>
      <c r="C224" s="180">
        <v>3</v>
      </c>
      <c r="D224" s="180">
        <v>2</v>
      </c>
      <c r="E224" s="180"/>
      <c r="F224" s="180">
        <v>2</v>
      </c>
      <c r="G224" s="180"/>
      <c r="H224" s="180"/>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c r="AO224" s="168"/>
      <c r="AP224" s="168"/>
      <c r="AQ224" s="168"/>
      <c r="AR224" s="168"/>
      <c r="AS224" s="168"/>
      <c r="AT224" s="168"/>
      <c r="AU224" s="168"/>
      <c r="AV224" s="168"/>
      <c r="AW224" s="168"/>
    </row>
    <row r="225" spans="1:49" x14ac:dyDescent="0.25">
      <c r="A225" s="180" t="str">
        <f>wp_pole&amp;" "&amp;8</f>
        <v>Pole Arm 8</v>
      </c>
      <c r="B225" s="180">
        <v>3</v>
      </c>
      <c r="C225" s="180">
        <v>3</v>
      </c>
      <c r="D225" s="180">
        <v>2</v>
      </c>
      <c r="E225" s="180"/>
      <c r="F225" s="180">
        <v>4</v>
      </c>
      <c r="G225" s="180"/>
      <c r="H225" s="180"/>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row>
    <row r="226" spans="1:49" x14ac:dyDescent="0.25">
      <c r="A226" s="180" t="str">
        <f>wp_pole&amp;" "&amp;9</f>
        <v>Pole Arm 9</v>
      </c>
      <c r="B226" s="180">
        <v>4</v>
      </c>
      <c r="C226" s="180">
        <v>4</v>
      </c>
      <c r="D226" s="180">
        <v>2</v>
      </c>
      <c r="E226" s="180"/>
      <c r="F226" s="180">
        <v>4</v>
      </c>
      <c r="G226" s="180"/>
      <c r="H226" s="180"/>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c r="AU226" s="168"/>
      <c r="AV226" s="168"/>
      <c r="AW226" s="168"/>
    </row>
    <row r="227" spans="1:49" x14ac:dyDescent="0.25">
      <c r="A227" s="180" t="str">
        <f>wp_pole&amp;" "&amp;10</f>
        <v>Pole Arm 10</v>
      </c>
      <c r="B227" s="180">
        <v>4</v>
      </c>
      <c r="C227" s="180">
        <v>4</v>
      </c>
      <c r="D227" s="180">
        <v>2</v>
      </c>
      <c r="E227" s="180"/>
      <c r="F227" s="180">
        <v>4</v>
      </c>
      <c r="G227" s="180"/>
      <c r="H227" s="180"/>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row>
    <row r="228" spans="1:49" x14ac:dyDescent="0.25">
      <c r="A228" s="180" t="str">
        <f>wp_pole&amp;" "&amp;11</f>
        <v>Pole Arm 11</v>
      </c>
      <c r="B228" s="180">
        <v>4</v>
      </c>
      <c r="C228" s="180">
        <v>4</v>
      </c>
      <c r="D228" s="180">
        <v>2</v>
      </c>
      <c r="E228" s="180"/>
      <c r="F228" s="180">
        <v>4</v>
      </c>
      <c r="G228" s="180"/>
      <c r="H228" s="180"/>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8"/>
      <c r="AL228" s="168"/>
      <c r="AM228" s="168"/>
      <c r="AN228" s="168"/>
      <c r="AO228" s="168"/>
      <c r="AP228" s="168"/>
      <c r="AQ228" s="168"/>
      <c r="AR228" s="168"/>
      <c r="AS228" s="168"/>
      <c r="AT228" s="168"/>
      <c r="AU228" s="168"/>
      <c r="AV228" s="168"/>
      <c r="AW228" s="168"/>
    </row>
    <row r="229" spans="1:49" x14ac:dyDescent="0.25">
      <c r="A229" s="180" t="str">
        <f>wp_pole&amp;" "&amp;12</f>
        <v>Pole Arm 12</v>
      </c>
      <c r="B229" s="180">
        <v>5</v>
      </c>
      <c r="C229" s="180">
        <v>5</v>
      </c>
      <c r="D229" s="180">
        <v>3</v>
      </c>
      <c r="E229" s="180"/>
      <c r="F229" s="180">
        <v>4</v>
      </c>
      <c r="G229" s="180"/>
      <c r="H229" s="180"/>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c r="AE229" s="168"/>
      <c r="AF229" s="168"/>
      <c r="AG229" s="168"/>
      <c r="AH229" s="168"/>
      <c r="AI229" s="168"/>
      <c r="AJ229" s="168"/>
      <c r="AK229" s="168"/>
      <c r="AL229" s="168"/>
      <c r="AM229" s="168"/>
      <c r="AN229" s="168"/>
      <c r="AO229" s="168"/>
      <c r="AP229" s="168"/>
      <c r="AQ229" s="168"/>
      <c r="AR229" s="168"/>
      <c r="AS229" s="168"/>
      <c r="AT229" s="168"/>
      <c r="AU229" s="168"/>
      <c r="AV229" s="168"/>
      <c r="AW229" s="168"/>
    </row>
    <row r="230" spans="1:49" x14ac:dyDescent="0.25">
      <c r="A230" s="180" t="str">
        <f>wp_pole&amp;" "&amp;13</f>
        <v>Pole Arm 13</v>
      </c>
      <c r="B230" s="180">
        <v>5</v>
      </c>
      <c r="C230" s="180">
        <v>5</v>
      </c>
      <c r="D230" s="180">
        <v>3</v>
      </c>
      <c r="E230" s="180"/>
      <c r="F230" s="180">
        <v>4</v>
      </c>
      <c r="G230" s="180"/>
      <c r="H230" s="180"/>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c r="AO230" s="168"/>
      <c r="AP230" s="168"/>
      <c r="AQ230" s="168"/>
      <c r="AR230" s="168"/>
      <c r="AS230" s="168"/>
      <c r="AT230" s="168"/>
      <c r="AU230" s="168"/>
      <c r="AV230" s="168"/>
      <c r="AW230" s="168"/>
    </row>
    <row r="231" spans="1:49" x14ac:dyDescent="0.25">
      <c r="A231" s="180" t="str">
        <f>wp_pole&amp;" "&amp;14</f>
        <v>Pole Arm 14</v>
      </c>
      <c r="B231" s="180">
        <v>5</v>
      </c>
      <c r="C231" s="180">
        <v>5</v>
      </c>
      <c r="D231" s="180">
        <v>3</v>
      </c>
      <c r="E231" s="180"/>
      <c r="F231" s="180">
        <v>4</v>
      </c>
      <c r="G231" s="180"/>
      <c r="H231" s="180"/>
      <c r="I231" s="168"/>
      <c r="J231" s="168"/>
      <c r="K231" s="168"/>
      <c r="L231" s="168"/>
      <c r="M231" s="168"/>
      <c r="N231" s="168"/>
      <c r="O231" s="168"/>
      <c r="P231" s="168"/>
      <c r="Q231" s="168"/>
      <c r="R231" s="168"/>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c r="AO231" s="168"/>
      <c r="AP231" s="168"/>
      <c r="AQ231" s="168"/>
      <c r="AR231" s="168"/>
      <c r="AS231" s="168"/>
      <c r="AT231" s="168"/>
      <c r="AU231" s="168"/>
      <c r="AV231" s="168"/>
      <c r="AW231" s="168"/>
    </row>
    <row r="232" spans="1:49" x14ac:dyDescent="0.25">
      <c r="A232" s="180" t="str">
        <f>wp_pole&amp;" "&amp;15</f>
        <v>Pole Arm 15</v>
      </c>
      <c r="B232" s="180">
        <v>5</v>
      </c>
      <c r="C232" s="180">
        <v>5</v>
      </c>
      <c r="D232" s="180">
        <v>3</v>
      </c>
      <c r="E232" s="180"/>
      <c r="F232" s="180">
        <v>4</v>
      </c>
      <c r="G232" s="180"/>
      <c r="H232" s="180"/>
      <c r="I232" s="168"/>
      <c r="J232" s="168"/>
      <c r="K232" s="168"/>
      <c r="L232" s="168"/>
      <c r="M232" s="168"/>
      <c r="N232" s="168"/>
      <c r="O232" s="168"/>
      <c r="P232" s="168"/>
      <c r="Q232" s="168"/>
      <c r="R232" s="168"/>
      <c r="S232" s="168"/>
      <c r="T232" s="168"/>
      <c r="U232" s="168"/>
      <c r="V232" s="168"/>
      <c r="W232" s="168"/>
      <c r="X232" s="168"/>
      <c r="Y232" s="168"/>
      <c r="Z232" s="168"/>
      <c r="AA232" s="168"/>
      <c r="AB232" s="168"/>
      <c r="AC232" s="168"/>
      <c r="AD232" s="168"/>
      <c r="AE232" s="168"/>
      <c r="AF232" s="168"/>
      <c r="AG232" s="168"/>
      <c r="AH232" s="168"/>
      <c r="AI232" s="168"/>
      <c r="AJ232" s="168"/>
      <c r="AK232" s="168"/>
      <c r="AL232" s="168"/>
      <c r="AM232" s="168"/>
      <c r="AN232" s="168"/>
      <c r="AO232" s="168"/>
      <c r="AP232" s="168"/>
      <c r="AQ232" s="168"/>
      <c r="AR232" s="168"/>
      <c r="AS232" s="168"/>
      <c r="AT232" s="168"/>
      <c r="AU232" s="168"/>
      <c r="AV232" s="168"/>
      <c r="AW232" s="168"/>
    </row>
    <row r="233" spans="1:49" x14ac:dyDescent="0.25">
      <c r="A233" s="180" t="str">
        <f>wp_shield&amp;" "&amp;1</f>
        <v>Shield 1</v>
      </c>
      <c r="B233" s="180"/>
      <c r="C233" s="180">
        <v>1</v>
      </c>
      <c r="D233" s="180"/>
      <c r="E233" s="180"/>
      <c r="F233" s="180"/>
      <c r="G233" s="180"/>
      <c r="H233" s="180"/>
      <c r="I233" s="168"/>
      <c r="J233" s="168"/>
      <c r="K233" s="168"/>
      <c r="L233" s="168"/>
      <c r="M233" s="168"/>
      <c r="N233" s="168"/>
      <c r="O233" s="168"/>
      <c r="P233" s="168"/>
      <c r="Q233" s="168"/>
      <c r="R233" s="168"/>
      <c r="S233" s="168"/>
      <c r="T233" s="168"/>
      <c r="U233" s="168"/>
      <c r="V233" s="168"/>
      <c r="W233" s="168"/>
      <c r="X233" s="168"/>
      <c r="Y233" s="168"/>
      <c r="Z233" s="168"/>
      <c r="AA233" s="168"/>
      <c r="AB233" s="168"/>
      <c r="AC233" s="168"/>
      <c r="AD233" s="168"/>
      <c r="AE233" s="168"/>
      <c r="AF233" s="168"/>
      <c r="AG233" s="168"/>
      <c r="AH233" s="168"/>
      <c r="AI233" s="168"/>
      <c r="AJ233" s="168"/>
      <c r="AK233" s="168"/>
      <c r="AL233" s="168"/>
      <c r="AM233" s="168"/>
      <c r="AN233" s="168"/>
      <c r="AO233" s="168"/>
      <c r="AP233" s="168"/>
      <c r="AQ233" s="168"/>
      <c r="AR233" s="168"/>
      <c r="AS233" s="168"/>
      <c r="AT233" s="168"/>
      <c r="AU233" s="168"/>
      <c r="AV233" s="168"/>
      <c r="AW233" s="168"/>
    </row>
    <row r="234" spans="1:49" x14ac:dyDescent="0.25">
      <c r="A234" s="180" t="str">
        <f>wp_shield&amp;" "&amp;2</f>
        <v>Shield 2</v>
      </c>
      <c r="B234" s="180"/>
      <c r="C234" s="180">
        <v>1</v>
      </c>
      <c r="D234" s="180"/>
      <c r="E234" s="180"/>
      <c r="F234" s="180"/>
      <c r="G234" s="180"/>
      <c r="H234" s="180"/>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c r="AW234" s="168"/>
    </row>
    <row r="235" spans="1:49" x14ac:dyDescent="0.25">
      <c r="A235" s="180" t="str">
        <f>wp_shield&amp;" "&amp;3</f>
        <v>Shield 3</v>
      </c>
      <c r="B235" s="180"/>
      <c r="C235" s="180">
        <v>2</v>
      </c>
      <c r="D235" s="180"/>
      <c r="E235" s="180"/>
      <c r="F235" s="180"/>
      <c r="G235" s="180"/>
      <c r="H235" s="180"/>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c r="AO235" s="168"/>
      <c r="AP235" s="168"/>
      <c r="AQ235" s="168"/>
      <c r="AR235" s="168"/>
      <c r="AS235" s="168"/>
      <c r="AT235" s="168"/>
      <c r="AU235" s="168"/>
      <c r="AV235" s="168"/>
      <c r="AW235" s="168"/>
    </row>
    <row r="236" spans="1:49" x14ac:dyDescent="0.25">
      <c r="A236" s="180" t="str">
        <f>wp_shield&amp;" "&amp;4</f>
        <v>Shield 4</v>
      </c>
      <c r="B236" s="180">
        <v>1</v>
      </c>
      <c r="C236" s="180">
        <v>2</v>
      </c>
      <c r="D236" s="180"/>
      <c r="E236" s="180"/>
      <c r="F236" s="180"/>
      <c r="G236" s="180"/>
      <c r="H236" s="180"/>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c r="AO236" s="168"/>
      <c r="AP236" s="168"/>
      <c r="AQ236" s="168"/>
      <c r="AR236" s="168"/>
      <c r="AS236" s="168"/>
      <c r="AT236" s="168"/>
      <c r="AU236" s="168"/>
      <c r="AV236" s="168"/>
      <c r="AW236" s="168"/>
    </row>
    <row r="237" spans="1:49" x14ac:dyDescent="0.25">
      <c r="A237" s="180" t="str">
        <f>wp_shield&amp;" "&amp;5</f>
        <v>Shield 5</v>
      </c>
      <c r="B237" s="180">
        <v>1</v>
      </c>
      <c r="C237" s="180">
        <v>2</v>
      </c>
      <c r="D237" s="180"/>
      <c r="E237" s="180"/>
      <c r="F237" s="180"/>
      <c r="G237" s="180"/>
      <c r="H237" s="180"/>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c r="AW237" s="168"/>
    </row>
    <row r="238" spans="1:49" x14ac:dyDescent="0.25">
      <c r="A238" s="180" t="str">
        <f>wp_shield&amp;" "&amp;6</f>
        <v>Shield 6</v>
      </c>
      <c r="B238" s="180">
        <v>1</v>
      </c>
      <c r="C238" s="180">
        <v>3</v>
      </c>
      <c r="D238" s="180"/>
      <c r="E238" s="180"/>
      <c r="F238" s="180"/>
      <c r="G238" s="180"/>
      <c r="H238" s="180"/>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row>
    <row r="239" spans="1:49" x14ac:dyDescent="0.25">
      <c r="A239" s="180" t="str">
        <f>wp_shield&amp;" "&amp;7</f>
        <v>Shield 7</v>
      </c>
      <c r="B239" s="180">
        <v>1</v>
      </c>
      <c r="C239" s="180">
        <v>3</v>
      </c>
      <c r="D239" s="180"/>
      <c r="E239" s="180"/>
      <c r="F239" s="180"/>
      <c r="G239" s="180"/>
      <c r="H239" s="180"/>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row>
    <row r="240" spans="1:49" x14ac:dyDescent="0.25">
      <c r="A240" s="180" t="str">
        <f>wp_shield&amp;" "&amp;8</f>
        <v>Shield 8</v>
      </c>
      <c r="B240" s="180">
        <v>2</v>
      </c>
      <c r="C240" s="180">
        <v>3</v>
      </c>
      <c r="D240" s="180"/>
      <c r="E240" s="180"/>
      <c r="F240" s="180"/>
      <c r="G240" s="180"/>
      <c r="H240" s="180"/>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row>
    <row r="241" spans="1:49" x14ac:dyDescent="0.25">
      <c r="A241" s="180" t="str">
        <f>wp_shield&amp;" "&amp;9</f>
        <v>Shield 9</v>
      </c>
      <c r="B241" s="180">
        <v>2</v>
      </c>
      <c r="C241" s="180">
        <v>4</v>
      </c>
      <c r="D241" s="180"/>
      <c r="E241" s="180"/>
      <c r="F241" s="180"/>
      <c r="G241" s="180"/>
      <c r="H241" s="180"/>
      <c r="I241" s="168"/>
      <c r="J241" s="168"/>
      <c r="K241" s="168"/>
      <c r="L241" s="168"/>
      <c r="M241" s="168"/>
      <c r="N241" s="168"/>
      <c r="O241" s="168"/>
      <c r="P241" s="168"/>
      <c r="Q241" s="168"/>
      <c r="R241" s="168"/>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c r="AO241" s="168"/>
      <c r="AP241" s="168"/>
      <c r="AQ241" s="168"/>
      <c r="AR241" s="168"/>
      <c r="AS241" s="168"/>
      <c r="AT241" s="168"/>
      <c r="AU241" s="168"/>
      <c r="AV241" s="168"/>
      <c r="AW241" s="168"/>
    </row>
    <row r="242" spans="1:49" x14ac:dyDescent="0.25">
      <c r="A242" s="180" t="str">
        <f>wp_shield&amp;" "&amp;10</f>
        <v>Shield 10</v>
      </c>
      <c r="B242" s="180">
        <v>2</v>
      </c>
      <c r="C242" s="180">
        <v>4</v>
      </c>
      <c r="D242" s="180"/>
      <c r="E242" s="180"/>
      <c r="F242" s="180"/>
      <c r="G242" s="180"/>
      <c r="H242" s="180"/>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c r="AW242" s="168"/>
    </row>
    <row r="243" spans="1:49" x14ac:dyDescent="0.25">
      <c r="A243" s="180" t="str">
        <f>wp_shield&amp;" "&amp;11</f>
        <v>Shield 11</v>
      </c>
      <c r="B243" s="180">
        <v>2</v>
      </c>
      <c r="C243" s="180">
        <v>4</v>
      </c>
      <c r="D243" s="180"/>
      <c r="E243" s="180"/>
      <c r="F243" s="180"/>
      <c r="G243" s="180"/>
      <c r="H243" s="180"/>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c r="AW243" s="168"/>
    </row>
    <row r="244" spans="1:49" x14ac:dyDescent="0.25">
      <c r="A244" s="180" t="str">
        <f>wp_shield&amp;" "&amp;12</f>
        <v>Shield 12</v>
      </c>
      <c r="B244" s="180">
        <v>3</v>
      </c>
      <c r="C244" s="180">
        <v>5</v>
      </c>
      <c r="D244" s="180"/>
      <c r="E244" s="180"/>
      <c r="F244" s="180"/>
      <c r="G244" s="180"/>
      <c r="H244" s="180"/>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c r="AO244" s="168"/>
      <c r="AP244" s="168"/>
      <c r="AQ244" s="168"/>
      <c r="AR244" s="168"/>
      <c r="AS244" s="168"/>
      <c r="AT244" s="168"/>
      <c r="AU244" s="168"/>
      <c r="AV244" s="168"/>
      <c r="AW244" s="168"/>
    </row>
    <row r="245" spans="1:49" x14ac:dyDescent="0.25">
      <c r="A245" s="180" t="str">
        <f>wp_shield&amp;" "&amp;13</f>
        <v>Shield 13</v>
      </c>
      <c r="B245" s="180">
        <v>3</v>
      </c>
      <c r="C245" s="180">
        <v>5</v>
      </c>
      <c r="D245" s="180"/>
      <c r="E245" s="180"/>
      <c r="F245" s="180"/>
      <c r="G245" s="180"/>
      <c r="H245" s="180"/>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row>
    <row r="246" spans="1:49" x14ac:dyDescent="0.25">
      <c r="A246" s="180" t="str">
        <f>wp_shield&amp;" "&amp;14</f>
        <v>Shield 14</v>
      </c>
      <c r="B246" s="180">
        <v>3</v>
      </c>
      <c r="C246" s="180">
        <v>5</v>
      </c>
      <c r="D246" s="180"/>
      <c r="E246" s="180"/>
      <c r="F246" s="180"/>
      <c r="G246" s="180"/>
      <c r="H246" s="180"/>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row>
    <row r="247" spans="1:49" x14ac:dyDescent="0.25">
      <c r="A247" s="180" t="str">
        <f>wp_shield&amp;" "&amp;15</f>
        <v>Shield 15</v>
      </c>
      <c r="B247" s="180">
        <v>3</v>
      </c>
      <c r="C247" s="180">
        <v>6</v>
      </c>
      <c r="D247" s="180"/>
      <c r="E247" s="180"/>
      <c r="F247" s="180"/>
      <c r="G247" s="180"/>
      <c r="H247" s="180"/>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row>
    <row r="248" spans="1:49" x14ac:dyDescent="0.25">
      <c r="A248" s="180" t="str">
        <f>wp_siege&amp;" "&amp;1</f>
        <v>Siege Weapons 1</v>
      </c>
      <c r="B248" s="180"/>
      <c r="C248" s="180"/>
      <c r="D248" s="180"/>
      <c r="E248" s="180"/>
      <c r="F248" s="180"/>
      <c r="G248" s="180"/>
      <c r="H248" s="180"/>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c r="AO248" s="168"/>
      <c r="AP248" s="168"/>
      <c r="AQ248" s="168"/>
      <c r="AR248" s="168"/>
      <c r="AS248" s="168"/>
      <c r="AT248" s="168"/>
      <c r="AU248" s="168"/>
      <c r="AV248" s="168"/>
      <c r="AW248" s="168"/>
    </row>
    <row r="249" spans="1:49" x14ac:dyDescent="0.25">
      <c r="A249" s="180" t="str">
        <f>wp_siege&amp;" "&amp;2</f>
        <v>Siege Weapons 2</v>
      </c>
      <c r="B249" s="180">
        <v>1</v>
      </c>
      <c r="C249" s="180"/>
      <c r="D249" s="180"/>
      <c r="E249" s="180"/>
      <c r="F249" s="180"/>
      <c r="G249" s="180"/>
      <c r="H249" s="180"/>
      <c r="I249" s="168"/>
      <c r="J249" s="168"/>
      <c r="K249" s="168"/>
      <c r="L249" s="168"/>
      <c r="M249" s="168"/>
      <c r="N249" s="168"/>
      <c r="O249" s="168"/>
      <c r="P249" s="168"/>
      <c r="Q249" s="168"/>
      <c r="R249" s="168"/>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c r="AO249" s="168"/>
      <c r="AP249" s="168"/>
      <c r="AQ249" s="168"/>
      <c r="AR249" s="168"/>
      <c r="AS249" s="168"/>
      <c r="AT249" s="168"/>
      <c r="AU249" s="168"/>
      <c r="AV249" s="168"/>
      <c r="AW249" s="168"/>
    </row>
    <row r="250" spans="1:49" x14ac:dyDescent="0.25">
      <c r="A250" s="180" t="str">
        <f>wp_siege&amp;" "&amp;3</f>
        <v>Siege Weapons 3</v>
      </c>
      <c r="B250" s="180">
        <v>1</v>
      </c>
      <c r="C250" s="180"/>
      <c r="D250" s="180"/>
      <c r="E250" s="180"/>
      <c r="F250" s="180"/>
      <c r="G250" s="180"/>
      <c r="H250" s="180"/>
      <c r="I250" s="168"/>
      <c r="J250" s="168"/>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row>
    <row r="251" spans="1:49" x14ac:dyDescent="0.25">
      <c r="A251" s="180" t="str">
        <f>wp_siege&amp;" "&amp;4</f>
        <v>Siege Weapons 4</v>
      </c>
      <c r="B251" s="180">
        <v>1</v>
      </c>
      <c r="C251" s="180"/>
      <c r="D251" s="180"/>
      <c r="E251" s="180"/>
      <c r="F251" s="180"/>
      <c r="G251" s="180"/>
      <c r="H251" s="180"/>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c r="AW251" s="168"/>
    </row>
    <row r="252" spans="1:49" x14ac:dyDescent="0.25">
      <c r="A252" s="180" t="str">
        <f>wp_siege&amp;" "&amp;5</f>
        <v>Siege Weapons 5</v>
      </c>
      <c r="B252" s="180">
        <v>2</v>
      </c>
      <c r="C252" s="180"/>
      <c r="D252" s="180"/>
      <c r="E252" s="180"/>
      <c r="F252" s="180"/>
      <c r="G252" s="180"/>
      <c r="H252" s="180"/>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c r="AW252" s="168"/>
    </row>
    <row r="253" spans="1:49" x14ac:dyDescent="0.25">
      <c r="A253" s="180" t="str">
        <f>wp_siege&amp;" "&amp;6</f>
        <v>Siege Weapons 6</v>
      </c>
      <c r="B253" s="180">
        <v>2</v>
      </c>
      <c r="C253" s="180"/>
      <c r="D253" s="180"/>
      <c r="E253" s="180"/>
      <c r="F253" s="180"/>
      <c r="G253" s="180"/>
      <c r="H253" s="180"/>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c r="AW253" s="168"/>
    </row>
    <row r="254" spans="1:49" x14ac:dyDescent="0.25">
      <c r="A254" s="180" t="str">
        <f>wp_siege&amp;" "&amp;7</f>
        <v>Siege Weapons 7</v>
      </c>
      <c r="B254" s="180">
        <v>2</v>
      </c>
      <c r="C254" s="180"/>
      <c r="D254" s="180"/>
      <c r="E254" s="180"/>
      <c r="F254" s="180"/>
      <c r="G254" s="180"/>
      <c r="H254" s="180"/>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c r="AW254" s="168"/>
    </row>
    <row r="255" spans="1:49" x14ac:dyDescent="0.25">
      <c r="A255" s="180" t="str">
        <f>wp_siege&amp;" "&amp;8</f>
        <v>Siege Weapons 8</v>
      </c>
      <c r="B255" s="180">
        <v>2</v>
      </c>
      <c r="C255" s="180"/>
      <c r="D255" s="180"/>
      <c r="E255" s="180"/>
      <c r="F255" s="180"/>
      <c r="G255" s="180"/>
      <c r="H255" s="180"/>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c r="AW255" s="168"/>
    </row>
    <row r="256" spans="1:49" x14ac:dyDescent="0.25">
      <c r="A256" s="180" t="str">
        <f>wp_siege&amp;" "&amp;9</f>
        <v>Siege Weapons 9</v>
      </c>
      <c r="B256" s="180">
        <v>3</v>
      </c>
      <c r="C256" s="180"/>
      <c r="D256" s="180"/>
      <c r="E256" s="180"/>
      <c r="F256" s="180"/>
      <c r="G256" s="180"/>
      <c r="H256" s="180"/>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c r="AW256" s="168"/>
    </row>
    <row r="257" spans="1:49" x14ac:dyDescent="0.25">
      <c r="A257" s="180" t="str">
        <f>wp_siege&amp;" "&amp;10</f>
        <v>Siege Weapons 10</v>
      </c>
      <c r="B257" s="180">
        <v>3</v>
      </c>
      <c r="C257" s="180"/>
      <c r="D257" s="180"/>
      <c r="E257" s="180"/>
      <c r="F257" s="180"/>
      <c r="G257" s="180"/>
      <c r="H257" s="180"/>
      <c r="I257" s="168"/>
      <c r="J257" s="168"/>
      <c r="K257" s="168"/>
      <c r="L257" s="168"/>
      <c r="M257" s="168"/>
      <c r="N257" s="168"/>
      <c r="O257" s="168"/>
      <c r="P257" s="168"/>
      <c r="Q257" s="168"/>
      <c r="R257" s="168"/>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8"/>
      <c r="AR257" s="168"/>
      <c r="AS257" s="168"/>
      <c r="AT257" s="168"/>
      <c r="AU257" s="168"/>
      <c r="AV257" s="168"/>
      <c r="AW257" s="168"/>
    </row>
    <row r="258" spans="1:49" x14ac:dyDescent="0.25">
      <c r="A258" s="180" t="str">
        <f>wp_siege&amp;" "&amp;11</f>
        <v>Siege Weapons 11</v>
      </c>
      <c r="B258" s="180">
        <v>3</v>
      </c>
      <c r="C258" s="180"/>
      <c r="D258" s="180"/>
      <c r="E258" s="180"/>
      <c r="F258" s="180"/>
      <c r="G258" s="180"/>
      <c r="H258" s="180"/>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c r="AW258" s="168"/>
    </row>
    <row r="259" spans="1:49" x14ac:dyDescent="0.25">
      <c r="A259" s="180" t="str">
        <f>wp_siege&amp;" "&amp;12</f>
        <v>Siege Weapons 12</v>
      </c>
      <c r="B259" s="180">
        <v>4</v>
      </c>
      <c r="C259" s="180"/>
      <c r="D259" s="180"/>
      <c r="E259" s="180"/>
      <c r="F259" s="180"/>
      <c r="G259" s="180"/>
      <c r="H259" s="180"/>
      <c r="I259" s="168"/>
      <c r="J259" s="168"/>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8"/>
      <c r="AR259" s="168"/>
      <c r="AS259" s="168"/>
      <c r="AT259" s="168"/>
      <c r="AU259" s="168"/>
      <c r="AV259" s="168"/>
      <c r="AW259" s="168"/>
    </row>
    <row r="260" spans="1:49" x14ac:dyDescent="0.25">
      <c r="A260" s="180" t="str">
        <f>wp_siege&amp;" "&amp;13</f>
        <v>Siege Weapons 13</v>
      </c>
      <c r="B260" s="180">
        <v>4</v>
      </c>
      <c r="C260" s="180"/>
      <c r="D260" s="180"/>
      <c r="E260" s="180"/>
      <c r="F260" s="180"/>
      <c r="G260" s="180"/>
      <c r="H260" s="180"/>
      <c r="I260" s="168"/>
      <c r="J260" s="168"/>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8"/>
      <c r="AR260" s="168"/>
      <c r="AS260" s="168"/>
      <c r="AT260" s="168"/>
      <c r="AU260" s="168"/>
      <c r="AV260" s="168"/>
      <c r="AW260" s="168"/>
    </row>
    <row r="261" spans="1:49" x14ac:dyDescent="0.25">
      <c r="A261" s="180" t="str">
        <f>wp_siege&amp;" "&amp;14</f>
        <v>Siege Weapons 14</v>
      </c>
      <c r="B261" s="180">
        <v>4</v>
      </c>
      <c r="C261" s="180"/>
      <c r="D261" s="180"/>
      <c r="E261" s="180"/>
      <c r="F261" s="180"/>
      <c r="G261" s="180"/>
      <c r="H261" s="180"/>
      <c r="I261" s="168"/>
      <c r="J261" s="168"/>
      <c r="K261" s="168"/>
      <c r="L261" s="168"/>
      <c r="M261" s="168"/>
      <c r="N261" s="168"/>
      <c r="O261" s="168"/>
      <c r="P261" s="168"/>
      <c r="Q261" s="168"/>
      <c r="R261" s="168"/>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8"/>
      <c r="AR261" s="168"/>
      <c r="AS261" s="168"/>
      <c r="AT261" s="168"/>
      <c r="AU261" s="168"/>
      <c r="AV261" s="168"/>
      <c r="AW261" s="168"/>
    </row>
    <row r="262" spans="1:49" x14ac:dyDescent="0.25">
      <c r="A262" s="180" t="str">
        <f>wp_siege&amp;" "&amp;15</f>
        <v>Siege Weapons 15</v>
      </c>
      <c r="B262" s="180">
        <v>4</v>
      </c>
      <c r="C262" s="180"/>
      <c r="D262" s="180"/>
      <c r="E262" s="180"/>
      <c r="F262" s="180"/>
      <c r="G262" s="180"/>
      <c r="H262" s="180"/>
      <c r="I262" s="168"/>
      <c r="J262" s="168"/>
      <c r="K262" s="168"/>
      <c r="L262" s="168"/>
      <c r="M262" s="168"/>
      <c r="N262" s="168"/>
      <c r="O262" s="168"/>
      <c r="P262" s="168"/>
      <c r="Q262" s="168"/>
      <c r="R262" s="168"/>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row>
    <row r="263" spans="1:49" x14ac:dyDescent="0.25">
      <c r="A263" s="180" t="str">
        <f>wp_spear&amp;" "&amp;1</f>
        <v>Spear 1</v>
      </c>
      <c r="B263" s="180">
        <v>1</v>
      </c>
      <c r="C263" s="180">
        <v>1</v>
      </c>
      <c r="D263" s="180"/>
      <c r="E263" s="180"/>
      <c r="F263" s="180"/>
      <c r="G263" s="180"/>
      <c r="H263" s="180"/>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row>
    <row r="264" spans="1:49" x14ac:dyDescent="0.25">
      <c r="A264" s="180" t="str">
        <f>wp_spear&amp;" "&amp;2</f>
        <v>Spear 2</v>
      </c>
      <c r="B264" s="180">
        <v>1</v>
      </c>
      <c r="C264" s="180">
        <v>1</v>
      </c>
      <c r="D264" s="180"/>
      <c r="E264" s="180"/>
      <c r="F264" s="180"/>
      <c r="G264" s="180"/>
      <c r="H264" s="180"/>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68"/>
      <c r="AN264" s="168"/>
      <c r="AO264" s="168"/>
      <c r="AP264" s="168"/>
      <c r="AQ264" s="168"/>
      <c r="AR264" s="168"/>
      <c r="AS264" s="168"/>
      <c r="AT264" s="168"/>
      <c r="AU264" s="168"/>
      <c r="AV264" s="168"/>
      <c r="AW264" s="168"/>
    </row>
    <row r="265" spans="1:49" x14ac:dyDescent="0.25">
      <c r="A265" s="180" t="str">
        <f>wp_spear&amp;" "&amp;3</f>
        <v>Spear 3</v>
      </c>
      <c r="B265" s="180">
        <v>2</v>
      </c>
      <c r="C265" s="180">
        <v>2</v>
      </c>
      <c r="D265" s="180">
        <v>1</v>
      </c>
      <c r="E265" s="180"/>
      <c r="F265" s="180"/>
      <c r="G265" s="180"/>
      <c r="H265" s="180"/>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8"/>
      <c r="AR265" s="168"/>
      <c r="AS265" s="168"/>
      <c r="AT265" s="168"/>
      <c r="AU265" s="168"/>
      <c r="AV265" s="168"/>
      <c r="AW265" s="168"/>
    </row>
    <row r="266" spans="1:49" x14ac:dyDescent="0.25">
      <c r="A266" s="180" t="str">
        <f>wp_spear&amp;" "&amp;4</f>
        <v>Spear 4</v>
      </c>
      <c r="B266" s="180">
        <v>2</v>
      </c>
      <c r="C266" s="180">
        <v>2</v>
      </c>
      <c r="D266" s="180">
        <v>1</v>
      </c>
      <c r="E266" s="180"/>
      <c r="F266" s="180"/>
      <c r="G266" s="180"/>
      <c r="H266" s="180"/>
      <c r="I266" s="168"/>
      <c r="J266" s="168"/>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c r="AW266" s="168"/>
    </row>
    <row r="267" spans="1:49" x14ac:dyDescent="0.25">
      <c r="A267" s="180" t="str">
        <f>wp_spear&amp;" "&amp;5</f>
        <v>Spear 5</v>
      </c>
      <c r="B267" s="180">
        <v>3</v>
      </c>
      <c r="C267" s="180">
        <v>3</v>
      </c>
      <c r="D267" s="180">
        <v>1</v>
      </c>
      <c r="E267" s="180"/>
      <c r="F267" s="180"/>
      <c r="G267" s="180"/>
      <c r="H267" s="180"/>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8"/>
      <c r="AR267" s="168"/>
      <c r="AS267" s="168"/>
      <c r="AT267" s="168"/>
      <c r="AU267" s="168"/>
      <c r="AV267" s="168"/>
      <c r="AW267" s="168"/>
    </row>
    <row r="268" spans="1:49" x14ac:dyDescent="0.25">
      <c r="A268" s="180" t="str">
        <f>wp_spear&amp;" "&amp;6</f>
        <v>Spear 6</v>
      </c>
      <c r="B268" s="180">
        <v>3</v>
      </c>
      <c r="C268" s="180">
        <v>3</v>
      </c>
      <c r="D268" s="180">
        <v>2</v>
      </c>
      <c r="E268" s="180"/>
      <c r="F268" s="180"/>
      <c r="G268" s="180"/>
      <c r="H268" s="180"/>
      <c r="I268" s="168"/>
      <c r="J268" s="168"/>
      <c r="K268" s="168"/>
      <c r="L268" s="168"/>
      <c r="M268" s="168"/>
      <c r="N268" s="168"/>
      <c r="O268" s="168"/>
      <c r="P268" s="168"/>
      <c r="Q268" s="168"/>
      <c r="R268" s="168"/>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8"/>
      <c r="AR268" s="168"/>
      <c r="AS268" s="168"/>
      <c r="AT268" s="168"/>
      <c r="AU268" s="168"/>
      <c r="AV268" s="168"/>
      <c r="AW268" s="168"/>
    </row>
    <row r="269" spans="1:49" x14ac:dyDescent="0.25">
      <c r="A269" s="180" t="str">
        <f>wp_spear&amp;" "&amp;7</f>
        <v>Spear 7</v>
      </c>
      <c r="B269" s="180">
        <v>3</v>
      </c>
      <c r="C269" s="180">
        <v>3</v>
      </c>
      <c r="D269" s="180">
        <v>2</v>
      </c>
      <c r="E269" s="180"/>
      <c r="F269" s="180"/>
      <c r="G269" s="180"/>
      <c r="H269" s="180"/>
      <c r="I269" s="168"/>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c r="AW269" s="168"/>
    </row>
    <row r="270" spans="1:49" x14ac:dyDescent="0.25">
      <c r="A270" s="180" t="str">
        <f>wp_spear&amp;" "&amp;8</f>
        <v>Spear 8</v>
      </c>
      <c r="B270" s="180">
        <v>4</v>
      </c>
      <c r="C270" s="180">
        <v>4</v>
      </c>
      <c r="D270" s="180">
        <v>2</v>
      </c>
      <c r="E270" s="180"/>
      <c r="F270" s="180"/>
      <c r="G270" s="180"/>
      <c r="H270" s="180"/>
      <c r="I270" s="168"/>
      <c r="J270" s="168"/>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8"/>
      <c r="AR270" s="168"/>
      <c r="AS270" s="168"/>
      <c r="AT270" s="168"/>
      <c r="AU270" s="168"/>
      <c r="AV270" s="168"/>
      <c r="AW270" s="168"/>
    </row>
    <row r="271" spans="1:49" x14ac:dyDescent="0.25">
      <c r="A271" s="180" t="str">
        <f>wp_spear&amp;" "&amp;9</f>
        <v>Spear 9</v>
      </c>
      <c r="B271" s="180">
        <v>4</v>
      </c>
      <c r="C271" s="180">
        <v>4</v>
      </c>
      <c r="D271" s="180">
        <v>2</v>
      </c>
      <c r="E271" s="180"/>
      <c r="F271" s="180"/>
      <c r="G271" s="180"/>
      <c r="H271" s="180"/>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8"/>
      <c r="AR271" s="168"/>
      <c r="AS271" s="168"/>
      <c r="AT271" s="168"/>
      <c r="AU271" s="168"/>
      <c r="AV271" s="168"/>
      <c r="AW271" s="168"/>
    </row>
    <row r="272" spans="1:49" x14ac:dyDescent="0.25">
      <c r="A272" s="180" t="str">
        <f>wp_spear&amp;" "&amp;10</f>
        <v>Spear 10</v>
      </c>
      <c r="B272" s="180">
        <v>4</v>
      </c>
      <c r="C272" s="180">
        <v>4</v>
      </c>
      <c r="D272" s="180">
        <v>3</v>
      </c>
      <c r="E272" s="180"/>
      <c r="F272" s="180"/>
      <c r="G272" s="180"/>
      <c r="H272" s="180"/>
      <c r="I272" s="168"/>
      <c r="J272" s="168"/>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8"/>
      <c r="AR272" s="168"/>
      <c r="AS272" s="168"/>
      <c r="AT272" s="168"/>
      <c r="AU272" s="168"/>
      <c r="AV272" s="168"/>
      <c r="AW272" s="168"/>
    </row>
    <row r="273" spans="1:49" x14ac:dyDescent="0.25">
      <c r="A273" s="180" t="str">
        <f>wp_spear&amp;" "&amp;11</f>
        <v>Spear 11</v>
      </c>
      <c r="B273" s="180">
        <v>5</v>
      </c>
      <c r="C273" s="180">
        <v>5</v>
      </c>
      <c r="D273" s="180">
        <v>3</v>
      </c>
      <c r="E273" s="180"/>
      <c r="F273" s="180"/>
      <c r="G273" s="180"/>
      <c r="H273" s="180"/>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row>
    <row r="274" spans="1:49" x14ac:dyDescent="0.25">
      <c r="A274" s="180" t="str">
        <f>wp_spear&amp;" "&amp;12</f>
        <v>Spear 12</v>
      </c>
      <c r="B274" s="180">
        <v>5</v>
      </c>
      <c r="C274" s="180">
        <v>5</v>
      </c>
      <c r="D274" s="180">
        <v>3</v>
      </c>
      <c r="E274" s="180"/>
      <c r="F274" s="180"/>
      <c r="G274" s="180"/>
      <c r="H274" s="180"/>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8"/>
      <c r="AR274" s="168"/>
      <c r="AS274" s="168"/>
      <c r="AT274" s="168"/>
      <c r="AU274" s="168"/>
      <c r="AV274" s="168"/>
      <c r="AW274" s="168"/>
    </row>
    <row r="275" spans="1:49" x14ac:dyDescent="0.25">
      <c r="A275" s="180" t="str">
        <f>wp_spear&amp;" "&amp;13</f>
        <v>Spear 13</v>
      </c>
      <c r="B275" s="180">
        <v>6</v>
      </c>
      <c r="C275" s="180">
        <v>6</v>
      </c>
      <c r="D275" s="180">
        <v>3</v>
      </c>
      <c r="E275" s="180"/>
      <c r="F275" s="180"/>
      <c r="G275" s="180"/>
      <c r="H275" s="180"/>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8"/>
      <c r="AR275" s="168"/>
      <c r="AS275" s="168"/>
      <c r="AT275" s="168"/>
      <c r="AU275" s="168"/>
      <c r="AV275" s="168"/>
      <c r="AW275" s="168"/>
    </row>
    <row r="276" spans="1:49" x14ac:dyDescent="0.25">
      <c r="A276" s="180" t="str">
        <f>wp_spear&amp;" "&amp;14</f>
        <v>Spear 14</v>
      </c>
      <c r="B276" s="180">
        <v>6</v>
      </c>
      <c r="C276" s="180">
        <v>6</v>
      </c>
      <c r="D276" s="180">
        <v>4</v>
      </c>
      <c r="E276" s="180"/>
      <c r="F276" s="180"/>
      <c r="G276" s="180"/>
      <c r="H276" s="180"/>
      <c r="I276" s="168"/>
      <c r="J276" s="168"/>
      <c r="K276" s="168"/>
      <c r="L276" s="168"/>
      <c r="M276" s="168"/>
      <c r="N276" s="168"/>
      <c r="O276" s="168"/>
      <c r="P276" s="168"/>
      <c r="Q276" s="168"/>
      <c r="R276" s="168"/>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8"/>
      <c r="AR276" s="168"/>
      <c r="AS276" s="168"/>
      <c r="AT276" s="168"/>
      <c r="AU276" s="168"/>
      <c r="AV276" s="168"/>
      <c r="AW276" s="168"/>
    </row>
    <row r="277" spans="1:49" x14ac:dyDescent="0.25">
      <c r="A277" s="180" t="str">
        <f>wp_spear&amp;" "&amp;15</f>
        <v>Spear 15</v>
      </c>
      <c r="B277" s="180">
        <v>6</v>
      </c>
      <c r="C277" s="180">
        <v>6</v>
      </c>
      <c r="D277" s="180">
        <v>4</v>
      </c>
      <c r="E277" s="180"/>
      <c r="F277" s="180"/>
      <c r="G277" s="180"/>
      <c r="H277" s="180"/>
      <c r="I277" s="168"/>
      <c r="J277" s="168"/>
      <c r="K277" s="168"/>
      <c r="L277" s="168"/>
      <c r="M277" s="168"/>
      <c r="N277" s="168"/>
      <c r="O277" s="168"/>
      <c r="P277" s="168"/>
      <c r="Q277" s="168"/>
      <c r="R277" s="168"/>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8"/>
      <c r="AO277" s="168"/>
      <c r="AP277" s="168"/>
      <c r="AQ277" s="168"/>
      <c r="AR277" s="168"/>
      <c r="AS277" s="168"/>
      <c r="AT277" s="168"/>
      <c r="AU277" s="168"/>
      <c r="AV277" s="168"/>
      <c r="AW277" s="168"/>
    </row>
    <row r="278" spans="1:49" x14ac:dyDescent="0.25">
      <c r="A278" s="180" t="str">
        <f>wp_staff&amp;" "&amp;1</f>
        <v>Staff 1</v>
      </c>
      <c r="B278" s="180">
        <v>1</v>
      </c>
      <c r="C278" s="180">
        <v>1</v>
      </c>
      <c r="D278" s="180"/>
      <c r="E278" s="180"/>
      <c r="F278" s="180"/>
      <c r="G278" s="180"/>
      <c r="H278" s="180"/>
      <c r="I278" s="168"/>
      <c r="J278" s="168"/>
      <c r="K278" s="168"/>
      <c r="L278" s="168"/>
      <c r="M278" s="168"/>
      <c r="N278" s="168"/>
      <c r="O278" s="168"/>
      <c r="P278" s="168"/>
      <c r="Q278" s="168"/>
      <c r="R278" s="168"/>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8"/>
      <c r="AO278" s="168"/>
      <c r="AP278" s="168"/>
      <c r="AQ278" s="168"/>
      <c r="AR278" s="168"/>
      <c r="AS278" s="168"/>
      <c r="AT278" s="168"/>
      <c r="AU278" s="168"/>
      <c r="AV278" s="168"/>
      <c r="AW278" s="168"/>
    </row>
    <row r="279" spans="1:49" x14ac:dyDescent="0.25">
      <c r="A279" s="180" t="str">
        <f>wp_staff&amp;" "&amp;2</f>
        <v>Staff 2</v>
      </c>
      <c r="B279" s="180">
        <v>1</v>
      </c>
      <c r="C279" s="180">
        <v>1</v>
      </c>
      <c r="D279" s="180"/>
      <c r="E279" s="180"/>
      <c r="F279" s="180"/>
      <c r="G279" s="180"/>
      <c r="H279" s="180"/>
      <c r="I279" s="168"/>
      <c r="J279" s="168"/>
      <c r="K279" s="168"/>
      <c r="L279" s="168"/>
      <c r="M279" s="168"/>
      <c r="N279" s="168"/>
      <c r="O279" s="168"/>
      <c r="P279" s="168"/>
      <c r="Q279" s="168"/>
      <c r="R279" s="168"/>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8"/>
      <c r="AO279" s="168"/>
      <c r="AP279" s="168"/>
      <c r="AQ279" s="168"/>
      <c r="AR279" s="168"/>
      <c r="AS279" s="168"/>
      <c r="AT279" s="168"/>
      <c r="AU279" s="168"/>
      <c r="AV279" s="168"/>
      <c r="AW279" s="168"/>
    </row>
    <row r="280" spans="1:49" x14ac:dyDescent="0.25">
      <c r="A280" s="180" t="str">
        <f>wp_staff&amp;" "&amp;3</f>
        <v>Staff 3</v>
      </c>
      <c r="B280" s="180">
        <v>2</v>
      </c>
      <c r="C280" s="180">
        <v>2</v>
      </c>
      <c r="D280" s="180"/>
      <c r="E280" s="180"/>
      <c r="F280" s="180"/>
      <c r="G280" s="180"/>
      <c r="H280" s="180"/>
      <c r="I280" s="168"/>
      <c r="J280" s="168"/>
      <c r="K280" s="168"/>
      <c r="L280" s="168"/>
      <c r="M280" s="168"/>
      <c r="N280" s="168"/>
      <c r="O280" s="168"/>
      <c r="P280" s="168"/>
      <c r="Q280" s="168"/>
      <c r="R280" s="168"/>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8"/>
      <c r="AO280" s="168"/>
      <c r="AP280" s="168"/>
      <c r="AQ280" s="168"/>
      <c r="AR280" s="168"/>
      <c r="AS280" s="168"/>
      <c r="AT280" s="168"/>
      <c r="AU280" s="168"/>
      <c r="AV280" s="168"/>
      <c r="AW280" s="168"/>
    </row>
    <row r="281" spans="1:49" x14ac:dyDescent="0.25">
      <c r="A281" s="180" t="str">
        <f>wp_staff&amp;" "&amp;4</f>
        <v>Staff 4</v>
      </c>
      <c r="B281" s="180">
        <v>2</v>
      </c>
      <c r="C281" s="180">
        <v>2</v>
      </c>
      <c r="D281" s="180"/>
      <c r="E281" s="180"/>
      <c r="F281" s="180"/>
      <c r="G281" s="180"/>
      <c r="H281" s="180"/>
      <c r="I281" s="168"/>
      <c r="J281" s="168"/>
      <c r="K281" s="168"/>
      <c r="L281" s="168"/>
      <c r="M281" s="168"/>
      <c r="N281" s="168"/>
      <c r="O281" s="168"/>
      <c r="P281" s="168"/>
      <c r="Q281" s="168"/>
      <c r="R281" s="168"/>
      <c r="S281" s="168"/>
      <c r="T281" s="168"/>
      <c r="U281" s="168"/>
      <c r="V281" s="168"/>
      <c r="W281" s="168"/>
      <c r="X281" s="168"/>
      <c r="Y281" s="168"/>
      <c r="Z281" s="168"/>
      <c r="AA281" s="168"/>
      <c r="AB281" s="168"/>
      <c r="AC281" s="168"/>
      <c r="AD281" s="168"/>
      <c r="AE281" s="168"/>
      <c r="AF281" s="168"/>
      <c r="AG281" s="168"/>
      <c r="AH281" s="168"/>
      <c r="AI281" s="168"/>
      <c r="AJ281" s="168"/>
      <c r="AK281" s="168"/>
      <c r="AL281" s="168"/>
      <c r="AM281" s="168"/>
      <c r="AN281" s="168"/>
      <c r="AO281" s="168"/>
      <c r="AP281" s="168"/>
      <c r="AQ281" s="168"/>
      <c r="AR281" s="168"/>
      <c r="AS281" s="168"/>
      <c r="AT281" s="168"/>
      <c r="AU281" s="168"/>
      <c r="AV281" s="168"/>
      <c r="AW281" s="168"/>
    </row>
    <row r="282" spans="1:49" x14ac:dyDescent="0.25">
      <c r="A282" s="180" t="str">
        <f>wp_staff&amp;" "&amp;5</f>
        <v>Staff 5</v>
      </c>
      <c r="B282" s="180">
        <v>2</v>
      </c>
      <c r="C282" s="180">
        <v>2</v>
      </c>
      <c r="D282" s="180">
        <v>1</v>
      </c>
      <c r="E282" s="180"/>
      <c r="F282" s="180"/>
      <c r="G282" s="180"/>
      <c r="H282" s="180"/>
      <c r="I282" s="168"/>
      <c r="J282" s="168"/>
      <c r="K282" s="168"/>
      <c r="L282" s="168"/>
      <c r="M282" s="168"/>
      <c r="N282" s="168"/>
      <c r="O282" s="168"/>
      <c r="P282" s="168"/>
      <c r="Q282" s="168"/>
      <c r="R282" s="168"/>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68"/>
      <c r="AO282" s="168"/>
      <c r="AP282" s="168"/>
      <c r="AQ282" s="168"/>
      <c r="AR282" s="168"/>
      <c r="AS282" s="168"/>
      <c r="AT282" s="168"/>
      <c r="AU282" s="168"/>
      <c r="AV282" s="168"/>
      <c r="AW282" s="168"/>
    </row>
    <row r="283" spans="1:49" x14ac:dyDescent="0.25">
      <c r="A283" s="180" t="str">
        <f>wp_staff&amp;" "&amp;6</f>
        <v>Staff 6</v>
      </c>
      <c r="B283" s="180">
        <v>2</v>
      </c>
      <c r="C283" s="180">
        <v>2</v>
      </c>
      <c r="D283" s="180">
        <v>1</v>
      </c>
      <c r="E283" s="180"/>
      <c r="F283" s="180"/>
      <c r="G283" s="180"/>
      <c r="H283" s="180"/>
      <c r="I283" s="168"/>
      <c r="J283" s="168"/>
      <c r="K283" s="168"/>
      <c r="L283" s="168"/>
      <c r="M283" s="168"/>
      <c r="N283" s="168"/>
      <c r="O283" s="168"/>
      <c r="P283" s="168"/>
      <c r="Q283" s="168"/>
      <c r="R283" s="168"/>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68"/>
      <c r="AO283" s="168"/>
      <c r="AP283" s="168"/>
      <c r="AQ283" s="168"/>
      <c r="AR283" s="168"/>
      <c r="AS283" s="168"/>
      <c r="AT283" s="168"/>
      <c r="AU283" s="168"/>
      <c r="AV283" s="168"/>
      <c r="AW283" s="168"/>
    </row>
    <row r="284" spans="1:49" x14ac:dyDescent="0.25">
      <c r="A284" s="180" t="str">
        <f>wp_staff&amp;" "&amp;7</f>
        <v>Staff 7</v>
      </c>
      <c r="B284" s="180">
        <v>3</v>
      </c>
      <c r="C284" s="180">
        <v>3</v>
      </c>
      <c r="D284" s="180">
        <v>1</v>
      </c>
      <c r="E284" s="180"/>
      <c r="F284" s="180"/>
      <c r="G284" s="180"/>
      <c r="H284" s="180"/>
      <c r="I284" s="168"/>
      <c r="J284" s="168"/>
      <c r="K284" s="168"/>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68"/>
      <c r="AO284" s="168"/>
      <c r="AP284" s="168"/>
      <c r="AQ284" s="168"/>
      <c r="AR284" s="168"/>
      <c r="AS284" s="168"/>
      <c r="AT284" s="168"/>
      <c r="AU284" s="168"/>
      <c r="AV284" s="168"/>
      <c r="AW284" s="168"/>
    </row>
    <row r="285" spans="1:49" x14ac:dyDescent="0.25">
      <c r="A285" s="180" t="str">
        <f>wp_staff&amp;" "&amp;8</f>
        <v>Staff 8</v>
      </c>
      <c r="B285" s="180">
        <v>3</v>
      </c>
      <c r="C285" s="180">
        <v>3</v>
      </c>
      <c r="D285" s="180">
        <v>1</v>
      </c>
      <c r="E285" s="180"/>
      <c r="F285" s="180"/>
      <c r="G285" s="180"/>
      <c r="H285" s="180"/>
      <c r="I285" s="168"/>
      <c r="J285" s="168"/>
      <c r="K285" s="168"/>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68"/>
      <c r="AO285" s="168"/>
      <c r="AP285" s="168"/>
      <c r="AQ285" s="168"/>
      <c r="AR285" s="168"/>
      <c r="AS285" s="168"/>
      <c r="AT285" s="168"/>
      <c r="AU285" s="168"/>
      <c r="AV285" s="168"/>
      <c r="AW285" s="168"/>
    </row>
    <row r="286" spans="1:49" x14ac:dyDescent="0.25">
      <c r="A286" s="180" t="str">
        <f>wp_staff&amp;" "&amp;9</f>
        <v>Staff 9</v>
      </c>
      <c r="B286" s="180">
        <v>3</v>
      </c>
      <c r="C286" s="180">
        <v>3</v>
      </c>
      <c r="D286" s="180">
        <v>1</v>
      </c>
      <c r="E286" s="180"/>
      <c r="F286" s="180"/>
      <c r="G286" s="180"/>
      <c r="H286" s="180"/>
      <c r="I286" s="168"/>
      <c r="J286" s="168"/>
      <c r="K286" s="168"/>
      <c r="L286" s="168"/>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68"/>
      <c r="AO286" s="168"/>
      <c r="AP286" s="168"/>
      <c r="AQ286" s="168"/>
      <c r="AR286" s="168"/>
      <c r="AS286" s="168"/>
      <c r="AT286" s="168"/>
      <c r="AU286" s="168"/>
      <c r="AV286" s="168"/>
      <c r="AW286" s="168"/>
    </row>
    <row r="287" spans="1:49" x14ac:dyDescent="0.25">
      <c r="A287" s="180" t="str">
        <f>wp_staff&amp;" "&amp;10</f>
        <v>Staff 10</v>
      </c>
      <c r="B287" s="180">
        <v>4</v>
      </c>
      <c r="C287" s="180">
        <v>4</v>
      </c>
      <c r="D287" s="180">
        <v>2</v>
      </c>
      <c r="E287" s="180"/>
      <c r="F287" s="180"/>
      <c r="G287" s="180"/>
      <c r="H287" s="180"/>
      <c r="I287" s="168"/>
      <c r="J287" s="168"/>
      <c r="K287" s="168"/>
      <c r="L287" s="168"/>
      <c r="M287" s="168"/>
      <c r="N287" s="168"/>
      <c r="O287" s="168"/>
      <c r="P287" s="168"/>
      <c r="Q287" s="168"/>
      <c r="R287" s="168"/>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8"/>
      <c r="AR287" s="168"/>
      <c r="AS287" s="168"/>
      <c r="AT287" s="168"/>
      <c r="AU287" s="168"/>
      <c r="AV287" s="168"/>
      <c r="AW287" s="168"/>
    </row>
    <row r="288" spans="1:49" x14ac:dyDescent="0.25">
      <c r="A288" s="180" t="str">
        <f>wp_staff&amp;" "&amp;11</f>
        <v>Staff 11</v>
      </c>
      <c r="B288" s="180">
        <v>4</v>
      </c>
      <c r="C288" s="180">
        <v>4</v>
      </c>
      <c r="D288" s="180">
        <v>2</v>
      </c>
      <c r="E288" s="180"/>
      <c r="F288" s="180"/>
      <c r="G288" s="180"/>
      <c r="H288" s="180"/>
      <c r="I288" s="168"/>
      <c r="J288" s="168"/>
      <c r="K288" s="168"/>
      <c r="L288" s="168"/>
      <c r="M288" s="168"/>
      <c r="N288" s="168"/>
      <c r="O288" s="168"/>
      <c r="P288" s="168"/>
      <c r="Q288" s="168"/>
      <c r="R288" s="168"/>
      <c r="S288" s="168"/>
      <c r="T288" s="168"/>
      <c r="U288" s="168"/>
      <c r="V288" s="168"/>
      <c r="W288" s="168"/>
      <c r="X288" s="168"/>
      <c r="Y288" s="168"/>
      <c r="Z288" s="168"/>
      <c r="AA288" s="168"/>
      <c r="AB288" s="168"/>
      <c r="AC288" s="168"/>
      <c r="AD288" s="168"/>
      <c r="AE288" s="168"/>
      <c r="AF288" s="168"/>
      <c r="AG288" s="168"/>
      <c r="AH288" s="168"/>
      <c r="AI288" s="168"/>
      <c r="AJ288" s="168"/>
      <c r="AK288" s="168"/>
      <c r="AL288" s="168"/>
      <c r="AM288" s="168"/>
      <c r="AN288" s="168"/>
      <c r="AO288" s="168"/>
      <c r="AP288" s="168"/>
      <c r="AQ288" s="168"/>
      <c r="AR288" s="168"/>
      <c r="AS288" s="168"/>
      <c r="AT288" s="168"/>
      <c r="AU288" s="168"/>
      <c r="AV288" s="168"/>
      <c r="AW288" s="168"/>
    </row>
    <row r="289" spans="1:49" x14ac:dyDescent="0.25">
      <c r="A289" s="180" t="str">
        <f>wp_staff&amp;" "&amp;12</f>
        <v>Staff 12</v>
      </c>
      <c r="B289" s="180">
        <v>4</v>
      </c>
      <c r="C289" s="180">
        <v>4</v>
      </c>
      <c r="D289" s="180">
        <v>2</v>
      </c>
      <c r="E289" s="180"/>
      <c r="F289" s="180"/>
      <c r="G289" s="180"/>
      <c r="H289" s="180"/>
      <c r="I289" s="168"/>
      <c r="J289" s="168"/>
      <c r="K289" s="168"/>
      <c r="L289" s="168"/>
      <c r="M289" s="168"/>
      <c r="N289" s="168"/>
      <c r="O289" s="168"/>
      <c r="P289" s="168"/>
      <c r="Q289" s="168"/>
      <c r="R289" s="168"/>
      <c r="S289" s="168"/>
      <c r="T289" s="168"/>
      <c r="U289" s="168"/>
      <c r="V289" s="168"/>
      <c r="W289" s="168"/>
      <c r="X289" s="168"/>
      <c r="Y289" s="168"/>
      <c r="Z289" s="168"/>
      <c r="AA289" s="168"/>
      <c r="AB289" s="168"/>
      <c r="AC289" s="168"/>
      <c r="AD289" s="168"/>
      <c r="AE289" s="168"/>
      <c r="AF289" s="168"/>
      <c r="AG289" s="168"/>
      <c r="AH289" s="168"/>
      <c r="AI289" s="168"/>
      <c r="AJ289" s="168"/>
      <c r="AK289" s="168"/>
      <c r="AL289" s="168"/>
      <c r="AM289" s="168"/>
      <c r="AN289" s="168"/>
      <c r="AO289" s="168"/>
      <c r="AP289" s="168"/>
      <c r="AQ289" s="168"/>
      <c r="AR289" s="168"/>
      <c r="AS289" s="168"/>
      <c r="AT289" s="168"/>
      <c r="AU289" s="168"/>
      <c r="AV289" s="168"/>
      <c r="AW289" s="168"/>
    </row>
    <row r="290" spans="1:49" x14ac:dyDescent="0.25">
      <c r="A290" s="180" t="str">
        <f>wp_staff&amp;" "&amp;13</f>
        <v>Staff 13</v>
      </c>
      <c r="B290" s="180">
        <v>5</v>
      </c>
      <c r="C290" s="180">
        <v>5</v>
      </c>
      <c r="D290" s="180">
        <v>2</v>
      </c>
      <c r="E290" s="180"/>
      <c r="F290" s="180"/>
      <c r="G290" s="180"/>
      <c r="H290" s="180"/>
      <c r="I290" s="168"/>
      <c r="J290" s="168"/>
      <c r="K290" s="168"/>
      <c r="L290" s="168"/>
      <c r="M290" s="168"/>
      <c r="N290" s="168"/>
      <c r="O290" s="168"/>
      <c r="P290" s="168"/>
      <c r="Q290" s="168"/>
      <c r="R290" s="168"/>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8"/>
      <c r="AQ290" s="168"/>
      <c r="AR290" s="168"/>
      <c r="AS290" s="168"/>
      <c r="AT290" s="168"/>
      <c r="AU290" s="168"/>
      <c r="AV290" s="168"/>
      <c r="AW290" s="168"/>
    </row>
    <row r="291" spans="1:49" x14ac:dyDescent="0.25">
      <c r="A291" s="180" t="str">
        <f>wp_staff&amp;" "&amp;14</f>
        <v>Staff 14</v>
      </c>
      <c r="B291" s="180">
        <v>5</v>
      </c>
      <c r="C291" s="180">
        <v>5</v>
      </c>
      <c r="D291" s="180">
        <v>2</v>
      </c>
      <c r="E291" s="180"/>
      <c r="F291" s="180"/>
      <c r="G291" s="180"/>
      <c r="H291" s="180"/>
      <c r="I291" s="168"/>
      <c r="J291" s="168"/>
      <c r="K291" s="168"/>
      <c r="L291" s="168"/>
      <c r="M291" s="168"/>
      <c r="N291" s="168"/>
      <c r="O291" s="168"/>
      <c r="P291" s="168"/>
      <c r="Q291" s="168"/>
      <c r="R291" s="168"/>
      <c r="S291" s="168"/>
      <c r="T291" s="168"/>
      <c r="U291" s="168"/>
      <c r="V291" s="168"/>
      <c r="W291" s="168"/>
      <c r="X291" s="168"/>
      <c r="Y291" s="168"/>
      <c r="Z291" s="168"/>
      <c r="AA291" s="168"/>
      <c r="AB291" s="168"/>
      <c r="AC291" s="168"/>
      <c r="AD291" s="168"/>
      <c r="AE291" s="168"/>
      <c r="AF291" s="168"/>
      <c r="AG291" s="168"/>
      <c r="AH291" s="168"/>
      <c r="AI291" s="168"/>
      <c r="AJ291" s="168"/>
      <c r="AK291" s="168"/>
      <c r="AL291" s="168"/>
      <c r="AM291" s="168"/>
      <c r="AN291" s="168"/>
      <c r="AO291" s="168"/>
      <c r="AP291" s="168"/>
      <c r="AQ291" s="168"/>
      <c r="AR291" s="168"/>
      <c r="AS291" s="168"/>
      <c r="AT291" s="168"/>
      <c r="AU291" s="168"/>
      <c r="AV291" s="168"/>
      <c r="AW291" s="168"/>
    </row>
    <row r="292" spans="1:49" x14ac:dyDescent="0.25">
      <c r="A292" s="180" t="str">
        <f>wp_staff&amp;" "&amp;15</f>
        <v>Staff 15</v>
      </c>
      <c r="B292" s="180">
        <v>5</v>
      </c>
      <c r="C292" s="180">
        <v>5</v>
      </c>
      <c r="D292" s="180">
        <v>3</v>
      </c>
      <c r="E292" s="180"/>
      <c r="F292" s="180"/>
      <c r="G292" s="180"/>
      <c r="H292" s="180"/>
      <c r="I292" s="168"/>
      <c r="J292" s="168"/>
      <c r="K292" s="168"/>
      <c r="L292" s="168"/>
      <c r="M292" s="168"/>
      <c r="N292" s="168"/>
      <c r="O292" s="168"/>
      <c r="P292" s="168"/>
      <c r="Q292" s="168"/>
      <c r="R292" s="168"/>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68"/>
      <c r="AN292" s="168"/>
      <c r="AO292" s="168"/>
      <c r="AP292" s="168"/>
      <c r="AQ292" s="168"/>
      <c r="AR292" s="168"/>
      <c r="AS292" s="168"/>
      <c r="AT292" s="168"/>
      <c r="AU292" s="168"/>
      <c r="AV292" s="168"/>
      <c r="AW292" s="168"/>
    </row>
    <row r="293" spans="1:49" x14ac:dyDescent="0.25">
      <c r="A293" s="180" t="str">
        <f>wp_sword&amp;" "&amp;1</f>
        <v>Sword 1</v>
      </c>
      <c r="B293" s="180">
        <v>1</v>
      </c>
      <c r="C293" s="180"/>
      <c r="D293" s="180"/>
      <c r="E293" s="180"/>
      <c r="F293" s="180"/>
      <c r="G293" s="180"/>
      <c r="H293" s="180"/>
      <c r="I293" s="168"/>
      <c r="J293" s="168"/>
      <c r="K293" s="168"/>
      <c r="L293" s="168"/>
      <c r="M293" s="168"/>
      <c r="N293" s="168"/>
      <c r="O293" s="168"/>
      <c r="P293" s="168"/>
      <c r="Q293" s="168"/>
      <c r="R293" s="168"/>
      <c r="S293" s="168"/>
      <c r="T293" s="168"/>
      <c r="U293" s="168"/>
      <c r="V293" s="168"/>
      <c r="W293" s="168"/>
      <c r="X293" s="168"/>
      <c r="Y293" s="168"/>
      <c r="Z293" s="168"/>
      <c r="AA293" s="168"/>
      <c r="AB293" s="168"/>
      <c r="AC293" s="168"/>
      <c r="AD293" s="168"/>
      <c r="AE293" s="168"/>
      <c r="AF293" s="168"/>
      <c r="AG293" s="168"/>
      <c r="AH293" s="168"/>
      <c r="AI293" s="168"/>
      <c r="AJ293" s="168"/>
      <c r="AK293" s="168"/>
      <c r="AL293" s="168"/>
      <c r="AM293" s="168"/>
      <c r="AN293" s="168"/>
      <c r="AO293" s="168"/>
      <c r="AP293" s="168"/>
      <c r="AQ293" s="168"/>
      <c r="AR293" s="168"/>
      <c r="AS293" s="168"/>
      <c r="AT293" s="168"/>
      <c r="AU293" s="168"/>
      <c r="AV293" s="168"/>
      <c r="AW293" s="168"/>
    </row>
    <row r="294" spans="1:49" x14ac:dyDescent="0.25">
      <c r="A294" s="180" t="str">
        <f>wp_sword&amp;" "&amp;2</f>
        <v>Sword 2</v>
      </c>
      <c r="B294" s="180">
        <v>1</v>
      </c>
      <c r="C294" s="180">
        <v>1</v>
      </c>
      <c r="D294" s="180"/>
      <c r="E294" s="180"/>
      <c r="F294" s="180"/>
      <c r="G294" s="180"/>
      <c r="H294" s="180"/>
      <c r="I294" s="168"/>
      <c r="J294" s="168"/>
      <c r="K294" s="168"/>
      <c r="L294" s="168"/>
      <c r="M294" s="168"/>
      <c r="N294" s="168"/>
      <c r="O294" s="168"/>
      <c r="P294" s="168"/>
      <c r="Q294" s="168"/>
      <c r="R294" s="168"/>
      <c r="S294" s="168"/>
      <c r="T294" s="168"/>
      <c r="U294" s="168"/>
      <c r="V294" s="168"/>
      <c r="W294" s="168"/>
      <c r="X294" s="168"/>
      <c r="Y294" s="168"/>
      <c r="Z294" s="168"/>
      <c r="AA294" s="168"/>
      <c r="AB294" s="168"/>
      <c r="AC294" s="168"/>
      <c r="AD294" s="168"/>
      <c r="AE294" s="168"/>
      <c r="AF294" s="168"/>
      <c r="AG294" s="168"/>
      <c r="AH294" s="168"/>
      <c r="AI294" s="168"/>
      <c r="AJ294" s="168"/>
      <c r="AK294" s="168"/>
      <c r="AL294" s="168"/>
      <c r="AM294" s="168"/>
      <c r="AN294" s="168"/>
      <c r="AO294" s="168"/>
      <c r="AP294" s="168"/>
      <c r="AQ294" s="168"/>
      <c r="AR294" s="168"/>
      <c r="AS294" s="168"/>
      <c r="AT294" s="168"/>
      <c r="AU294" s="168"/>
      <c r="AV294" s="168"/>
      <c r="AW294" s="168"/>
    </row>
    <row r="295" spans="1:49" x14ac:dyDescent="0.25">
      <c r="A295" s="180" t="str">
        <f>wp_sword&amp;" "&amp;3</f>
        <v>Sword 3</v>
      </c>
      <c r="B295" s="180">
        <v>2</v>
      </c>
      <c r="C295" s="180">
        <v>1</v>
      </c>
      <c r="D295" s="180"/>
      <c r="E295" s="180"/>
      <c r="F295" s="180"/>
      <c r="G295" s="180"/>
      <c r="H295" s="180"/>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8"/>
      <c r="AR295" s="168"/>
      <c r="AS295" s="168"/>
      <c r="AT295" s="168"/>
      <c r="AU295" s="168"/>
      <c r="AV295" s="168"/>
      <c r="AW295" s="168"/>
    </row>
    <row r="296" spans="1:49" x14ac:dyDescent="0.25">
      <c r="A296" s="180" t="str">
        <f>wp_sword&amp;" "&amp;4</f>
        <v>Sword 4</v>
      </c>
      <c r="B296" s="180">
        <v>2</v>
      </c>
      <c r="C296" s="180">
        <v>2</v>
      </c>
      <c r="D296" s="180">
        <v>1</v>
      </c>
      <c r="E296" s="180"/>
      <c r="F296" s="180"/>
      <c r="G296" s="180"/>
      <c r="H296" s="180"/>
      <c r="I296" s="168"/>
      <c r="J296" s="168"/>
      <c r="K296" s="168"/>
      <c r="L296" s="168"/>
      <c r="M296" s="168"/>
      <c r="N296" s="168"/>
      <c r="O296" s="168"/>
      <c r="P296" s="168"/>
      <c r="Q296" s="168"/>
      <c r="R296" s="168"/>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8"/>
      <c r="AR296" s="168"/>
      <c r="AS296" s="168"/>
      <c r="AT296" s="168"/>
      <c r="AU296" s="168"/>
      <c r="AV296" s="168"/>
      <c r="AW296" s="168"/>
    </row>
    <row r="297" spans="1:49" x14ac:dyDescent="0.25">
      <c r="A297" s="180" t="str">
        <f>wp_sword&amp;" "&amp;5</f>
        <v>Sword 5</v>
      </c>
      <c r="B297" s="180">
        <v>2</v>
      </c>
      <c r="C297" s="180">
        <v>2</v>
      </c>
      <c r="D297" s="180">
        <v>1</v>
      </c>
      <c r="E297" s="180"/>
      <c r="F297" s="180"/>
      <c r="G297" s="180"/>
      <c r="H297" s="180"/>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168"/>
      <c r="AL297" s="168"/>
      <c r="AM297" s="168"/>
      <c r="AN297" s="168"/>
      <c r="AO297" s="168"/>
      <c r="AP297" s="168"/>
      <c r="AQ297" s="168"/>
      <c r="AR297" s="168"/>
      <c r="AS297" s="168"/>
      <c r="AT297" s="168"/>
      <c r="AU297" s="168"/>
      <c r="AV297" s="168"/>
      <c r="AW297" s="168"/>
    </row>
    <row r="298" spans="1:49" x14ac:dyDescent="0.25">
      <c r="A298" s="180" t="str">
        <f>wp_sword&amp;" "&amp;6</f>
        <v>Sword 6</v>
      </c>
      <c r="B298" s="180">
        <v>3</v>
      </c>
      <c r="C298" s="180">
        <v>2</v>
      </c>
      <c r="D298" s="180">
        <v>1</v>
      </c>
      <c r="E298" s="180"/>
      <c r="F298" s="180"/>
      <c r="G298" s="180"/>
      <c r="H298" s="180"/>
      <c r="I298" s="168"/>
      <c r="J298" s="168"/>
      <c r="K298" s="168"/>
      <c r="L298" s="168"/>
      <c r="M298" s="168"/>
      <c r="N298" s="168"/>
      <c r="O298" s="168"/>
      <c r="P298" s="168"/>
      <c r="Q298" s="168"/>
      <c r="R298" s="168"/>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8"/>
      <c r="AR298" s="168"/>
      <c r="AS298" s="168"/>
      <c r="AT298" s="168"/>
      <c r="AU298" s="168"/>
      <c r="AV298" s="168"/>
      <c r="AW298" s="168"/>
    </row>
    <row r="299" spans="1:49" x14ac:dyDescent="0.25">
      <c r="A299" s="180" t="str">
        <f>wp_sword&amp;" "&amp;7</f>
        <v>Sword 7</v>
      </c>
      <c r="B299" s="180">
        <v>3</v>
      </c>
      <c r="C299" s="180">
        <v>3</v>
      </c>
      <c r="D299" s="180">
        <v>1</v>
      </c>
      <c r="E299" s="180"/>
      <c r="F299" s="180"/>
      <c r="G299" s="180"/>
      <c r="H299" s="180"/>
      <c r="I299" s="168"/>
      <c r="J299" s="168"/>
      <c r="K299" s="168"/>
      <c r="L299" s="168"/>
      <c r="M299" s="168"/>
      <c r="N299" s="168"/>
      <c r="O299" s="168"/>
      <c r="P299" s="168"/>
      <c r="Q299" s="168"/>
      <c r="R299" s="168"/>
      <c r="S299" s="168"/>
      <c r="T299" s="168"/>
      <c r="U299" s="168"/>
      <c r="V299" s="168"/>
      <c r="W299" s="168"/>
      <c r="X299" s="168"/>
      <c r="Y299" s="168"/>
      <c r="Z299" s="168"/>
      <c r="AA299" s="168"/>
      <c r="AB299" s="168"/>
      <c r="AC299" s="168"/>
      <c r="AD299" s="168"/>
      <c r="AE299" s="168"/>
      <c r="AF299" s="168"/>
      <c r="AG299" s="168"/>
      <c r="AH299" s="168"/>
      <c r="AI299" s="168"/>
      <c r="AJ299" s="168"/>
      <c r="AK299" s="168"/>
      <c r="AL299" s="168"/>
      <c r="AM299" s="168"/>
      <c r="AN299" s="168"/>
      <c r="AO299" s="168"/>
      <c r="AP299" s="168"/>
      <c r="AQ299" s="168"/>
      <c r="AR299" s="168"/>
      <c r="AS299" s="168"/>
      <c r="AT299" s="168"/>
      <c r="AU299" s="168"/>
      <c r="AV299" s="168"/>
      <c r="AW299" s="168"/>
    </row>
    <row r="300" spans="1:49" x14ac:dyDescent="0.25">
      <c r="A300" s="180" t="str">
        <f>wp_sword&amp;" "&amp;8</f>
        <v>Sword 8</v>
      </c>
      <c r="B300" s="180">
        <v>3</v>
      </c>
      <c r="C300" s="180">
        <v>3</v>
      </c>
      <c r="D300" s="180">
        <v>2</v>
      </c>
      <c r="E300" s="180"/>
      <c r="F300" s="180"/>
      <c r="G300" s="180"/>
      <c r="H300" s="180"/>
      <c r="I300" s="168"/>
      <c r="J300" s="168"/>
      <c r="K300" s="168"/>
      <c r="L300" s="168"/>
      <c r="M300" s="168"/>
      <c r="N300" s="168"/>
      <c r="O300" s="168"/>
      <c r="P300" s="168"/>
      <c r="Q300" s="168"/>
      <c r="R300" s="168"/>
      <c r="S300" s="168"/>
      <c r="T300" s="168"/>
      <c r="U300" s="168"/>
      <c r="V300" s="168"/>
      <c r="W300" s="168"/>
      <c r="X300" s="168"/>
      <c r="Y300" s="168"/>
      <c r="Z300" s="168"/>
      <c r="AA300" s="168"/>
      <c r="AB300" s="168"/>
      <c r="AC300" s="168"/>
      <c r="AD300" s="168"/>
      <c r="AE300" s="168"/>
      <c r="AF300" s="168"/>
      <c r="AG300" s="168"/>
      <c r="AH300" s="168"/>
      <c r="AI300" s="168"/>
      <c r="AJ300" s="168"/>
      <c r="AK300" s="168"/>
      <c r="AL300" s="168"/>
      <c r="AM300" s="168"/>
      <c r="AN300" s="168"/>
      <c r="AO300" s="168"/>
      <c r="AP300" s="168"/>
      <c r="AQ300" s="168"/>
      <c r="AR300" s="168"/>
      <c r="AS300" s="168"/>
      <c r="AT300" s="168"/>
      <c r="AU300" s="168"/>
      <c r="AV300" s="168"/>
      <c r="AW300" s="168"/>
    </row>
    <row r="301" spans="1:49" x14ac:dyDescent="0.25">
      <c r="A301" s="180" t="str">
        <f>wp_sword&amp;" "&amp;9</f>
        <v>Sword 9</v>
      </c>
      <c r="B301" s="180">
        <v>4</v>
      </c>
      <c r="C301" s="180">
        <v>3</v>
      </c>
      <c r="D301" s="180">
        <v>2</v>
      </c>
      <c r="E301" s="180"/>
      <c r="F301" s="180"/>
      <c r="G301" s="180"/>
      <c r="H301" s="180"/>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c r="AH301" s="168"/>
      <c r="AI301" s="168"/>
      <c r="AJ301" s="168"/>
      <c r="AK301" s="168"/>
      <c r="AL301" s="168"/>
      <c r="AM301" s="168"/>
      <c r="AN301" s="168"/>
      <c r="AO301" s="168"/>
      <c r="AP301" s="168"/>
      <c r="AQ301" s="168"/>
      <c r="AR301" s="168"/>
      <c r="AS301" s="168"/>
      <c r="AT301" s="168"/>
      <c r="AU301" s="168"/>
      <c r="AV301" s="168"/>
      <c r="AW301" s="168"/>
    </row>
    <row r="302" spans="1:49" x14ac:dyDescent="0.25">
      <c r="A302" s="180" t="str">
        <f>wp_sword&amp;" "&amp;10</f>
        <v>Sword 10</v>
      </c>
      <c r="B302" s="180">
        <v>4</v>
      </c>
      <c r="C302" s="180">
        <v>4</v>
      </c>
      <c r="D302" s="180">
        <v>2</v>
      </c>
      <c r="E302" s="180"/>
      <c r="F302" s="180"/>
      <c r="G302" s="180"/>
      <c r="H302" s="180"/>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168"/>
      <c r="AL302" s="168"/>
      <c r="AM302" s="168"/>
      <c r="AN302" s="168"/>
      <c r="AO302" s="168"/>
      <c r="AP302" s="168"/>
      <c r="AQ302" s="168"/>
      <c r="AR302" s="168"/>
      <c r="AS302" s="168"/>
      <c r="AT302" s="168"/>
      <c r="AU302" s="168"/>
      <c r="AV302" s="168"/>
      <c r="AW302" s="168"/>
    </row>
    <row r="303" spans="1:49" x14ac:dyDescent="0.25">
      <c r="A303" s="180" t="str">
        <f>wp_sword&amp;" "&amp;11</f>
        <v>Sword 11</v>
      </c>
      <c r="B303" s="180">
        <v>4</v>
      </c>
      <c r="C303" s="180">
        <v>4</v>
      </c>
      <c r="D303" s="180">
        <v>2</v>
      </c>
      <c r="E303" s="180"/>
      <c r="F303" s="180"/>
      <c r="G303" s="180"/>
      <c r="H303" s="180"/>
      <c r="I303" s="168"/>
      <c r="J303" s="168"/>
      <c r="K303" s="168"/>
      <c r="L303" s="168"/>
      <c r="M303" s="168"/>
      <c r="N303" s="168"/>
      <c r="O303" s="168"/>
      <c r="P303" s="168"/>
      <c r="Q303" s="168"/>
      <c r="R303" s="168"/>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8"/>
      <c r="AR303" s="168"/>
      <c r="AS303" s="168"/>
      <c r="AT303" s="168"/>
      <c r="AU303" s="168"/>
      <c r="AV303" s="168"/>
      <c r="AW303" s="168"/>
    </row>
    <row r="304" spans="1:49" x14ac:dyDescent="0.25">
      <c r="A304" s="180" t="str">
        <f>wp_sword&amp;" "&amp;12</f>
        <v>Sword 12</v>
      </c>
      <c r="B304" s="180">
        <v>5</v>
      </c>
      <c r="C304" s="180">
        <v>4</v>
      </c>
      <c r="D304" s="180">
        <v>3</v>
      </c>
      <c r="E304" s="180"/>
      <c r="F304" s="180"/>
      <c r="G304" s="180"/>
      <c r="H304" s="180"/>
      <c r="I304" s="168"/>
      <c r="J304" s="168"/>
      <c r="K304" s="168"/>
      <c r="L304" s="168"/>
      <c r="M304" s="168"/>
      <c r="N304" s="168"/>
      <c r="O304" s="168"/>
      <c r="P304" s="168"/>
      <c r="Q304" s="168"/>
      <c r="R304" s="168"/>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68"/>
      <c r="AN304" s="168"/>
      <c r="AO304" s="168"/>
      <c r="AP304" s="168"/>
      <c r="AQ304" s="168"/>
      <c r="AR304" s="168"/>
      <c r="AS304" s="168"/>
      <c r="AT304" s="168"/>
      <c r="AU304" s="168"/>
      <c r="AV304" s="168"/>
      <c r="AW304" s="168"/>
    </row>
    <row r="305" spans="1:49" x14ac:dyDescent="0.25">
      <c r="A305" s="180" t="str">
        <f>wp_sword&amp;" "&amp;13</f>
        <v>Sword 13</v>
      </c>
      <c r="B305" s="180">
        <v>5</v>
      </c>
      <c r="C305" s="180">
        <v>5</v>
      </c>
      <c r="D305" s="180">
        <v>3</v>
      </c>
      <c r="E305" s="180"/>
      <c r="F305" s="180"/>
      <c r="G305" s="180"/>
      <c r="H305" s="180"/>
      <c r="I305" s="168"/>
      <c r="J305" s="168"/>
      <c r="K305" s="168"/>
      <c r="L305" s="168"/>
      <c r="M305" s="168"/>
      <c r="N305" s="168"/>
      <c r="O305" s="168"/>
      <c r="P305" s="168"/>
      <c r="Q305" s="168"/>
      <c r="R305" s="168"/>
      <c r="S305" s="168"/>
      <c r="T305" s="168"/>
      <c r="U305" s="168"/>
      <c r="V305" s="168"/>
      <c r="W305" s="168"/>
      <c r="X305" s="168"/>
      <c r="Y305" s="168"/>
      <c r="Z305" s="168"/>
      <c r="AA305" s="168"/>
      <c r="AB305" s="168"/>
      <c r="AC305" s="168"/>
      <c r="AD305" s="168"/>
      <c r="AE305" s="168"/>
      <c r="AF305" s="168"/>
      <c r="AG305" s="168"/>
      <c r="AH305" s="168"/>
      <c r="AI305" s="168"/>
      <c r="AJ305" s="168"/>
      <c r="AK305" s="168"/>
      <c r="AL305" s="168"/>
      <c r="AM305" s="168"/>
      <c r="AN305" s="168"/>
      <c r="AO305" s="168"/>
      <c r="AP305" s="168"/>
      <c r="AQ305" s="168"/>
      <c r="AR305" s="168"/>
      <c r="AS305" s="168"/>
      <c r="AT305" s="168"/>
      <c r="AU305" s="168"/>
      <c r="AV305" s="168"/>
      <c r="AW305" s="168"/>
    </row>
    <row r="306" spans="1:49" x14ac:dyDescent="0.25">
      <c r="A306" s="180" t="str">
        <f>wp_sword&amp;" "&amp;14</f>
        <v>Sword 14</v>
      </c>
      <c r="B306" s="180">
        <v>5</v>
      </c>
      <c r="C306" s="180">
        <v>5</v>
      </c>
      <c r="D306" s="180">
        <v>3</v>
      </c>
      <c r="E306" s="180"/>
      <c r="F306" s="180"/>
      <c r="G306" s="180"/>
      <c r="H306" s="180"/>
      <c r="I306" s="168"/>
      <c r="J306" s="168"/>
      <c r="K306" s="168"/>
      <c r="L306" s="168"/>
      <c r="M306" s="168"/>
      <c r="N306" s="168"/>
      <c r="O306" s="168"/>
      <c r="P306" s="168"/>
      <c r="Q306" s="168"/>
      <c r="R306" s="168"/>
      <c r="S306" s="168"/>
      <c r="T306" s="168"/>
      <c r="U306" s="168"/>
      <c r="V306" s="168"/>
      <c r="W306" s="168"/>
      <c r="X306" s="168"/>
      <c r="Y306" s="168"/>
      <c r="Z306" s="168"/>
      <c r="AA306" s="168"/>
      <c r="AB306" s="168"/>
      <c r="AC306" s="168"/>
      <c r="AD306" s="168"/>
      <c r="AE306" s="168"/>
      <c r="AF306" s="168"/>
      <c r="AG306" s="168"/>
      <c r="AH306" s="168"/>
      <c r="AI306" s="168"/>
      <c r="AJ306" s="168"/>
      <c r="AK306" s="168"/>
      <c r="AL306" s="168"/>
      <c r="AM306" s="168"/>
      <c r="AN306" s="168"/>
      <c r="AO306" s="168"/>
      <c r="AP306" s="168"/>
      <c r="AQ306" s="168"/>
      <c r="AR306" s="168"/>
      <c r="AS306" s="168"/>
      <c r="AT306" s="168"/>
      <c r="AU306" s="168"/>
      <c r="AV306" s="168"/>
      <c r="AW306" s="168"/>
    </row>
    <row r="307" spans="1:49" x14ac:dyDescent="0.25">
      <c r="A307" s="180" t="str">
        <f>wp_sword&amp;" "&amp;15</f>
        <v>Sword 15</v>
      </c>
      <c r="B307" s="180">
        <v>6</v>
      </c>
      <c r="C307" s="180">
        <v>5</v>
      </c>
      <c r="D307" s="180">
        <v>3</v>
      </c>
      <c r="E307" s="180"/>
      <c r="F307" s="180"/>
      <c r="G307" s="180"/>
      <c r="H307" s="180"/>
      <c r="I307" s="168"/>
      <c r="J307" s="168"/>
      <c r="K307" s="168"/>
      <c r="L307" s="168"/>
      <c r="M307" s="168"/>
      <c r="N307" s="168"/>
      <c r="O307" s="168"/>
      <c r="P307" s="168"/>
      <c r="Q307" s="168"/>
      <c r="R307" s="168"/>
      <c r="S307" s="168"/>
      <c r="T307" s="168"/>
      <c r="U307" s="168"/>
      <c r="V307" s="168"/>
      <c r="W307" s="168"/>
      <c r="X307" s="168"/>
      <c r="Y307" s="168"/>
      <c r="Z307" s="168"/>
      <c r="AA307" s="168"/>
      <c r="AB307" s="168"/>
      <c r="AC307" s="168"/>
      <c r="AD307" s="168"/>
      <c r="AE307" s="168"/>
      <c r="AF307" s="168"/>
      <c r="AG307" s="168"/>
      <c r="AH307" s="168"/>
      <c r="AI307" s="168"/>
      <c r="AJ307" s="168"/>
      <c r="AK307" s="168"/>
      <c r="AL307" s="168"/>
      <c r="AM307" s="168"/>
      <c r="AN307" s="168"/>
      <c r="AO307" s="168"/>
      <c r="AP307" s="168"/>
      <c r="AQ307" s="168"/>
      <c r="AR307" s="168"/>
      <c r="AS307" s="168"/>
      <c r="AT307" s="168"/>
      <c r="AU307" s="168"/>
      <c r="AV307" s="168"/>
      <c r="AW307" s="168"/>
    </row>
    <row r="308" spans="1:49" x14ac:dyDescent="0.25">
      <c r="A308" s="180" t="str">
        <f>wp_target&amp;" "&amp;1</f>
        <v>Targeting/Missile Weapons 1</v>
      </c>
      <c r="B308" s="180">
        <v>1</v>
      </c>
      <c r="C308" s="180"/>
      <c r="D308" s="180"/>
      <c r="E308" s="180"/>
      <c r="F308" s="180"/>
      <c r="G308" s="180"/>
      <c r="H308" s="180"/>
      <c r="I308" s="168"/>
      <c r="J308" s="168"/>
      <c r="K308" s="168"/>
      <c r="L308" s="168"/>
      <c r="M308" s="168"/>
      <c r="N308" s="168"/>
      <c r="O308" s="168"/>
      <c r="P308" s="168"/>
      <c r="Q308" s="168"/>
      <c r="R308" s="168"/>
      <c r="S308" s="168"/>
      <c r="T308" s="168"/>
      <c r="U308" s="168"/>
      <c r="V308" s="168"/>
      <c r="W308" s="168"/>
      <c r="X308" s="168"/>
      <c r="Y308" s="168"/>
      <c r="Z308" s="168"/>
      <c r="AA308" s="168"/>
      <c r="AB308" s="168"/>
      <c r="AC308" s="168"/>
      <c r="AD308" s="168"/>
      <c r="AE308" s="168"/>
      <c r="AF308" s="168"/>
      <c r="AG308" s="168"/>
      <c r="AH308" s="168"/>
      <c r="AI308" s="168"/>
      <c r="AJ308" s="168"/>
      <c r="AK308" s="168"/>
      <c r="AL308" s="168"/>
      <c r="AM308" s="168"/>
      <c r="AN308" s="168"/>
      <c r="AO308" s="168"/>
      <c r="AP308" s="168"/>
      <c r="AQ308" s="168"/>
      <c r="AR308" s="168"/>
      <c r="AS308" s="168"/>
      <c r="AT308" s="168"/>
      <c r="AU308" s="168"/>
      <c r="AV308" s="168"/>
      <c r="AW308" s="168"/>
    </row>
    <row r="309" spans="1:49" x14ac:dyDescent="0.25">
      <c r="A309" s="180" t="str">
        <f>wp_target&amp;" "&amp;2</f>
        <v>Targeting/Missile Weapons 2</v>
      </c>
      <c r="B309" s="180">
        <v>1</v>
      </c>
      <c r="C309" s="180"/>
      <c r="D309" s="180"/>
      <c r="E309" s="180"/>
      <c r="F309" s="180"/>
      <c r="G309" s="180"/>
      <c r="H309" s="180"/>
      <c r="I309" s="168"/>
      <c r="J309" s="168"/>
      <c r="K309" s="168"/>
      <c r="L309" s="168"/>
      <c r="M309" s="168"/>
      <c r="N309" s="168"/>
      <c r="O309" s="168"/>
      <c r="P309" s="168"/>
      <c r="Q309" s="168"/>
      <c r="R309" s="168"/>
      <c r="S309" s="168"/>
      <c r="T309" s="168"/>
      <c r="U309" s="168"/>
      <c r="V309" s="168"/>
      <c r="W309" s="168"/>
      <c r="X309" s="168"/>
      <c r="Y309" s="168"/>
      <c r="Z309" s="168"/>
      <c r="AA309" s="168"/>
      <c r="AB309" s="168"/>
      <c r="AC309" s="168"/>
      <c r="AD309" s="168"/>
      <c r="AE309" s="168"/>
      <c r="AF309" s="168"/>
      <c r="AG309" s="168"/>
      <c r="AH309" s="168"/>
      <c r="AI309" s="168"/>
      <c r="AJ309" s="168"/>
      <c r="AK309" s="168"/>
      <c r="AL309" s="168"/>
      <c r="AM309" s="168"/>
      <c r="AN309" s="168"/>
      <c r="AO309" s="168"/>
      <c r="AP309" s="168"/>
      <c r="AQ309" s="168"/>
      <c r="AR309" s="168"/>
      <c r="AS309" s="168"/>
      <c r="AT309" s="168"/>
      <c r="AU309" s="168"/>
      <c r="AV309" s="168"/>
      <c r="AW309" s="168"/>
    </row>
    <row r="310" spans="1:49" x14ac:dyDescent="0.25">
      <c r="A310" s="180" t="str">
        <f>wp_target&amp;" "&amp;3</f>
        <v>Targeting/Missile Weapons 3</v>
      </c>
      <c r="B310" s="180">
        <v>2</v>
      </c>
      <c r="C310" s="180"/>
      <c r="D310" s="180"/>
      <c r="E310" s="180"/>
      <c r="F310" s="180"/>
      <c r="G310" s="180"/>
      <c r="H310" s="180"/>
      <c r="I310" s="168"/>
      <c r="J310" s="168"/>
      <c r="K310" s="168"/>
      <c r="L310" s="168"/>
      <c r="M310" s="168"/>
      <c r="N310" s="168"/>
      <c r="O310" s="168"/>
      <c r="P310" s="168"/>
      <c r="Q310" s="168"/>
      <c r="R310" s="168"/>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8"/>
      <c r="AO310" s="168"/>
      <c r="AP310" s="168"/>
      <c r="AQ310" s="168"/>
      <c r="AR310" s="168"/>
      <c r="AS310" s="168"/>
      <c r="AT310" s="168"/>
      <c r="AU310" s="168"/>
      <c r="AV310" s="168"/>
      <c r="AW310" s="168"/>
    </row>
    <row r="311" spans="1:49" x14ac:dyDescent="0.25">
      <c r="A311" s="180" t="str">
        <f>wp_target&amp;" "&amp;4</f>
        <v>Targeting/Missile Weapons 4</v>
      </c>
      <c r="B311" s="180">
        <v>2</v>
      </c>
      <c r="C311" s="180"/>
      <c r="D311" s="180"/>
      <c r="E311" s="180"/>
      <c r="F311" s="180"/>
      <c r="G311" s="180"/>
      <c r="H311" s="180"/>
      <c r="I311" s="168"/>
      <c r="J311" s="168"/>
      <c r="K311" s="168"/>
      <c r="L311" s="168"/>
      <c r="M311" s="168"/>
      <c r="N311" s="168"/>
      <c r="O311" s="168"/>
      <c r="P311" s="168"/>
      <c r="Q311" s="168"/>
      <c r="R311" s="168"/>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8"/>
      <c r="AR311" s="168"/>
      <c r="AS311" s="168"/>
      <c r="AT311" s="168"/>
      <c r="AU311" s="168"/>
      <c r="AV311" s="168"/>
      <c r="AW311" s="168"/>
    </row>
    <row r="312" spans="1:49" x14ac:dyDescent="0.25">
      <c r="A312" s="180" t="str">
        <f>wp_target&amp;" "&amp;5</f>
        <v>Targeting/Missile Weapons 5</v>
      </c>
      <c r="B312" s="180">
        <v>3</v>
      </c>
      <c r="C312" s="180"/>
      <c r="D312" s="180"/>
      <c r="E312" s="180"/>
      <c r="F312" s="180"/>
      <c r="G312" s="180"/>
      <c r="H312" s="180"/>
      <c r="I312" s="168"/>
      <c r="J312" s="168"/>
      <c r="K312" s="168"/>
      <c r="L312" s="168"/>
      <c r="M312" s="168"/>
      <c r="N312" s="168"/>
      <c r="O312" s="168"/>
      <c r="P312" s="168"/>
      <c r="Q312" s="168"/>
      <c r="R312" s="168"/>
      <c r="S312" s="168"/>
      <c r="T312" s="168"/>
      <c r="U312" s="168"/>
      <c r="V312" s="168"/>
      <c r="W312" s="168"/>
      <c r="X312" s="168"/>
      <c r="Y312" s="168"/>
      <c r="Z312" s="168"/>
      <c r="AA312" s="168"/>
      <c r="AB312" s="168"/>
      <c r="AC312" s="168"/>
      <c r="AD312" s="168"/>
      <c r="AE312" s="168"/>
      <c r="AF312" s="168"/>
      <c r="AG312" s="168"/>
      <c r="AH312" s="168"/>
      <c r="AI312" s="168"/>
      <c r="AJ312" s="168"/>
      <c r="AK312" s="168"/>
      <c r="AL312" s="168"/>
      <c r="AM312" s="168"/>
      <c r="AN312" s="168"/>
      <c r="AO312" s="168"/>
      <c r="AP312" s="168"/>
      <c r="AQ312" s="168"/>
      <c r="AR312" s="168"/>
      <c r="AS312" s="168"/>
      <c r="AT312" s="168"/>
      <c r="AU312" s="168"/>
      <c r="AV312" s="168"/>
      <c r="AW312" s="168"/>
    </row>
    <row r="313" spans="1:49" x14ac:dyDescent="0.25">
      <c r="A313" s="180" t="str">
        <f>wp_target&amp;" "&amp;6</f>
        <v>Targeting/Missile Weapons 6</v>
      </c>
      <c r="B313" s="180">
        <v>3</v>
      </c>
      <c r="C313" s="180"/>
      <c r="D313" s="180"/>
      <c r="E313" s="180"/>
      <c r="F313" s="180"/>
      <c r="G313" s="180"/>
      <c r="H313" s="180"/>
      <c r="I313" s="168"/>
      <c r="J313" s="168"/>
      <c r="K313" s="168"/>
      <c r="L313" s="168"/>
      <c r="M313" s="168"/>
      <c r="N313" s="168"/>
      <c r="O313" s="168"/>
      <c r="P313" s="168"/>
      <c r="Q313" s="168"/>
      <c r="R313" s="168"/>
      <c r="S313" s="168"/>
      <c r="T313" s="168"/>
      <c r="U313" s="168"/>
      <c r="V313" s="168"/>
      <c r="W313" s="168"/>
      <c r="X313" s="168"/>
      <c r="Y313" s="168"/>
      <c r="Z313" s="168"/>
      <c r="AA313" s="168"/>
      <c r="AB313" s="168"/>
      <c r="AC313" s="168"/>
      <c r="AD313" s="168"/>
      <c r="AE313" s="168"/>
      <c r="AF313" s="168"/>
      <c r="AG313" s="168"/>
      <c r="AH313" s="168"/>
      <c r="AI313" s="168"/>
      <c r="AJ313" s="168"/>
      <c r="AK313" s="168"/>
      <c r="AL313" s="168"/>
      <c r="AM313" s="168"/>
      <c r="AN313" s="168"/>
      <c r="AO313" s="168"/>
      <c r="AP313" s="168"/>
      <c r="AQ313" s="168"/>
      <c r="AR313" s="168"/>
      <c r="AS313" s="168"/>
      <c r="AT313" s="168"/>
      <c r="AU313" s="168"/>
      <c r="AV313" s="168"/>
      <c r="AW313" s="168"/>
    </row>
    <row r="314" spans="1:49" x14ac:dyDescent="0.25">
      <c r="A314" s="180" t="str">
        <f>wp_target&amp;" "&amp;7</f>
        <v>Targeting/Missile Weapons 7</v>
      </c>
      <c r="B314" s="180">
        <v>4</v>
      </c>
      <c r="C314" s="180"/>
      <c r="D314" s="180"/>
      <c r="E314" s="180"/>
      <c r="F314" s="180"/>
      <c r="G314" s="180"/>
      <c r="H314" s="180"/>
      <c r="I314" s="168"/>
      <c r="J314" s="168"/>
      <c r="K314" s="168"/>
      <c r="L314" s="168"/>
      <c r="M314" s="168"/>
      <c r="N314" s="168"/>
      <c r="O314" s="168"/>
      <c r="P314" s="168"/>
      <c r="Q314" s="168"/>
      <c r="R314" s="168"/>
      <c r="S314" s="168"/>
      <c r="T314" s="168"/>
      <c r="U314" s="168"/>
      <c r="V314" s="168"/>
      <c r="W314" s="168"/>
      <c r="X314" s="168"/>
      <c r="Y314" s="168"/>
      <c r="Z314" s="168"/>
      <c r="AA314" s="168"/>
      <c r="AB314" s="168"/>
      <c r="AC314" s="168"/>
      <c r="AD314" s="168"/>
      <c r="AE314" s="168"/>
      <c r="AF314" s="168"/>
      <c r="AG314" s="168"/>
      <c r="AH314" s="168"/>
      <c r="AI314" s="168"/>
      <c r="AJ314" s="168"/>
      <c r="AK314" s="168"/>
      <c r="AL314" s="168"/>
      <c r="AM314" s="168"/>
      <c r="AN314" s="168"/>
      <c r="AO314" s="168"/>
      <c r="AP314" s="168"/>
      <c r="AQ314" s="168"/>
      <c r="AR314" s="168"/>
      <c r="AS314" s="168"/>
      <c r="AT314" s="168"/>
      <c r="AU314" s="168"/>
      <c r="AV314" s="168"/>
      <c r="AW314" s="168"/>
    </row>
    <row r="315" spans="1:49" x14ac:dyDescent="0.25">
      <c r="A315" s="180" t="str">
        <f>wp_target&amp;" "&amp;8</f>
        <v>Targeting/Missile Weapons 8</v>
      </c>
      <c r="B315" s="180">
        <v>4</v>
      </c>
      <c r="C315" s="180"/>
      <c r="D315" s="180"/>
      <c r="E315" s="180"/>
      <c r="F315" s="180"/>
      <c r="G315" s="180"/>
      <c r="H315" s="180"/>
      <c r="I315" s="168"/>
      <c r="J315" s="168"/>
      <c r="K315" s="168"/>
      <c r="L315" s="168"/>
      <c r="M315" s="168"/>
      <c r="N315" s="168"/>
      <c r="O315" s="168"/>
      <c r="P315" s="168"/>
      <c r="Q315" s="168"/>
      <c r="R315" s="168"/>
      <c r="S315" s="168"/>
      <c r="T315" s="168"/>
      <c r="U315" s="168"/>
      <c r="V315" s="168"/>
      <c r="W315" s="168"/>
      <c r="X315" s="168"/>
      <c r="Y315" s="168"/>
      <c r="Z315" s="168"/>
      <c r="AA315" s="168"/>
      <c r="AB315" s="168"/>
      <c r="AC315" s="168"/>
      <c r="AD315" s="168"/>
      <c r="AE315" s="168"/>
      <c r="AF315" s="168"/>
      <c r="AG315" s="168"/>
      <c r="AH315" s="168"/>
      <c r="AI315" s="168"/>
      <c r="AJ315" s="168"/>
      <c r="AK315" s="168"/>
      <c r="AL315" s="168"/>
      <c r="AM315" s="168"/>
      <c r="AN315" s="168"/>
      <c r="AO315" s="168"/>
      <c r="AP315" s="168"/>
      <c r="AQ315" s="168"/>
      <c r="AR315" s="168"/>
      <c r="AS315" s="168"/>
      <c r="AT315" s="168"/>
      <c r="AU315" s="168"/>
      <c r="AV315" s="168"/>
      <c r="AW315" s="168"/>
    </row>
    <row r="316" spans="1:49" x14ac:dyDescent="0.25">
      <c r="A316" s="180" t="str">
        <f>wp_target&amp;" "&amp;9</f>
        <v>Targeting/Missile Weapons 9</v>
      </c>
      <c r="B316" s="180">
        <v>4</v>
      </c>
      <c r="C316" s="180"/>
      <c r="D316" s="180"/>
      <c r="E316" s="180"/>
      <c r="F316" s="180"/>
      <c r="G316" s="180"/>
      <c r="H316" s="180"/>
      <c r="I316" s="168"/>
      <c r="J316" s="168"/>
      <c r="K316" s="168"/>
      <c r="L316" s="168"/>
      <c r="M316" s="168"/>
      <c r="N316" s="168"/>
      <c r="O316" s="168"/>
      <c r="P316" s="168"/>
      <c r="Q316" s="168"/>
      <c r="R316" s="168"/>
      <c r="S316" s="168"/>
      <c r="T316" s="168"/>
      <c r="U316" s="168"/>
      <c r="V316" s="168"/>
      <c r="W316" s="168"/>
      <c r="X316" s="168"/>
      <c r="Y316" s="168"/>
      <c r="Z316" s="168"/>
      <c r="AA316" s="168"/>
      <c r="AB316" s="168"/>
      <c r="AC316" s="168"/>
      <c r="AD316" s="168"/>
      <c r="AE316" s="168"/>
      <c r="AF316" s="168"/>
      <c r="AG316" s="168"/>
      <c r="AH316" s="168"/>
      <c r="AI316" s="168"/>
      <c r="AJ316" s="168"/>
      <c r="AK316" s="168"/>
      <c r="AL316" s="168"/>
      <c r="AM316" s="168"/>
      <c r="AN316" s="168"/>
      <c r="AO316" s="168"/>
      <c r="AP316" s="168"/>
      <c r="AQ316" s="168"/>
      <c r="AR316" s="168"/>
      <c r="AS316" s="168"/>
      <c r="AT316" s="168"/>
      <c r="AU316" s="168"/>
      <c r="AV316" s="168"/>
      <c r="AW316" s="168"/>
    </row>
    <row r="317" spans="1:49" x14ac:dyDescent="0.25">
      <c r="A317" s="180" t="str">
        <f>wp_target&amp;" "&amp;10</f>
        <v>Targeting/Missile Weapons 10</v>
      </c>
      <c r="B317" s="180">
        <v>5</v>
      </c>
      <c r="C317" s="180"/>
      <c r="D317" s="180"/>
      <c r="E317" s="180"/>
      <c r="F317" s="180"/>
      <c r="G317" s="180"/>
      <c r="H317" s="180"/>
      <c r="I317" s="168"/>
      <c r="J317" s="168"/>
      <c r="K317" s="168"/>
      <c r="L317" s="168"/>
      <c r="M317" s="168"/>
      <c r="N317" s="168"/>
      <c r="O317" s="168"/>
      <c r="P317" s="168"/>
      <c r="Q317" s="168"/>
      <c r="R317" s="168"/>
      <c r="S317" s="168"/>
      <c r="T317" s="168"/>
      <c r="U317" s="168"/>
      <c r="V317" s="168"/>
      <c r="W317" s="168"/>
      <c r="X317" s="168"/>
      <c r="Y317" s="168"/>
      <c r="Z317" s="168"/>
      <c r="AA317" s="168"/>
      <c r="AB317" s="168"/>
      <c r="AC317" s="168"/>
      <c r="AD317" s="168"/>
      <c r="AE317" s="168"/>
      <c r="AF317" s="168"/>
      <c r="AG317" s="168"/>
      <c r="AH317" s="168"/>
      <c r="AI317" s="168"/>
      <c r="AJ317" s="168"/>
      <c r="AK317" s="168"/>
      <c r="AL317" s="168"/>
      <c r="AM317" s="168"/>
      <c r="AN317" s="168"/>
      <c r="AO317" s="168"/>
      <c r="AP317" s="168"/>
      <c r="AQ317" s="168"/>
      <c r="AR317" s="168"/>
      <c r="AS317" s="168"/>
      <c r="AT317" s="168"/>
      <c r="AU317" s="168"/>
      <c r="AV317" s="168"/>
      <c r="AW317" s="168"/>
    </row>
    <row r="318" spans="1:49" x14ac:dyDescent="0.25">
      <c r="A318" s="180" t="str">
        <f>wp_target&amp;" "&amp;11</f>
        <v>Targeting/Missile Weapons 11</v>
      </c>
      <c r="B318" s="180">
        <v>5</v>
      </c>
      <c r="C318" s="180"/>
      <c r="D318" s="180"/>
      <c r="E318" s="180"/>
      <c r="F318" s="180"/>
      <c r="G318" s="180"/>
      <c r="H318" s="180"/>
      <c r="I318" s="168"/>
      <c r="J318" s="168"/>
      <c r="K318" s="168"/>
      <c r="L318" s="168"/>
      <c r="M318" s="168"/>
      <c r="N318" s="168"/>
      <c r="O318" s="168"/>
      <c r="P318" s="168"/>
      <c r="Q318" s="168"/>
      <c r="R318" s="168"/>
      <c r="S318" s="168"/>
      <c r="T318" s="168"/>
      <c r="U318" s="168"/>
      <c r="V318" s="168"/>
      <c r="W318" s="168"/>
      <c r="X318" s="168"/>
      <c r="Y318" s="168"/>
      <c r="Z318" s="168"/>
      <c r="AA318" s="168"/>
      <c r="AB318" s="168"/>
      <c r="AC318" s="168"/>
      <c r="AD318" s="168"/>
      <c r="AE318" s="168"/>
      <c r="AF318" s="168"/>
      <c r="AG318" s="168"/>
      <c r="AH318" s="168"/>
      <c r="AI318" s="168"/>
      <c r="AJ318" s="168"/>
      <c r="AK318" s="168"/>
      <c r="AL318" s="168"/>
      <c r="AM318" s="168"/>
      <c r="AN318" s="168"/>
      <c r="AO318" s="168"/>
      <c r="AP318" s="168"/>
      <c r="AQ318" s="168"/>
      <c r="AR318" s="168"/>
      <c r="AS318" s="168"/>
      <c r="AT318" s="168"/>
      <c r="AU318" s="168"/>
      <c r="AV318" s="168"/>
      <c r="AW318" s="168"/>
    </row>
    <row r="319" spans="1:49" x14ac:dyDescent="0.25">
      <c r="A319" s="180" t="str">
        <f>wp_target&amp;" "&amp;12</f>
        <v>Targeting/Missile Weapons 12</v>
      </c>
      <c r="B319" s="180">
        <v>5</v>
      </c>
      <c r="C319" s="180"/>
      <c r="D319" s="180"/>
      <c r="E319" s="180"/>
      <c r="F319" s="180"/>
      <c r="G319" s="180"/>
      <c r="H319" s="180"/>
      <c r="I319" s="168"/>
      <c r="J319" s="168"/>
      <c r="K319" s="168"/>
      <c r="L319" s="168"/>
      <c r="M319" s="168"/>
      <c r="N319" s="168"/>
      <c r="O319" s="168"/>
      <c r="P319" s="168"/>
      <c r="Q319" s="168"/>
      <c r="R319" s="168"/>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8"/>
      <c r="AR319" s="168"/>
      <c r="AS319" s="168"/>
      <c r="AT319" s="168"/>
      <c r="AU319" s="168"/>
      <c r="AV319" s="168"/>
      <c r="AW319" s="168"/>
    </row>
    <row r="320" spans="1:49" x14ac:dyDescent="0.25">
      <c r="A320" s="180" t="str">
        <f>wp_target&amp;" "&amp;13</f>
        <v>Targeting/Missile Weapons 13</v>
      </c>
      <c r="B320" s="180">
        <v>6</v>
      </c>
      <c r="C320" s="180"/>
      <c r="D320" s="180"/>
      <c r="E320" s="180"/>
      <c r="F320" s="180"/>
      <c r="G320" s="180"/>
      <c r="H320" s="180"/>
      <c r="I320" s="168"/>
      <c r="J320" s="168"/>
      <c r="K320" s="168"/>
      <c r="L320" s="168"/>
      <c r="M320" s="168"/>
      <c r="N320" s="168"/>
      <c r="O320" s="168"/>
      <c r="P320" s="168"/>
      <c r="Q320" s="168"/>
      <c r="R320" s="168"/>
      <c r="S320" s="168"/>
      <c r="T320" s="168"/>
      <c r="U320" s="168"/>
      <c r="V320" s="168"/>
      <c r="W320" s="168"/>
      <c r="X320" s="168"/>
      <c r="Y320" s="168"/>
      <c r="Z320" s="168"/>
      <c r="AA320" s="168"/>
      <c r="AB320" s="168"/>
      <c r="AC320" s="168"/>
      <c r="AD320" s="168"/>
      <c r="AE320" s="168"/>
      <c r="AF320" s="168"/>
      <c r="AG320" s="168"/>
      <c r="AH320" s="168"/>
      <c r="AI320" s="168"/>
      <c r="AJ320" s="168"/>
      <c r="AK320" s="168"/>
      <c r="AL320" s="168"/>
      <c r="AM320" s="168"/>
      <c r="AN320" s="168"/>
      <c r="AO320" s="168"/>
      <c r="AP320" s="168"/>
      <c r="AQ320" s="168"/>
      <c r="AR320" s="168"/>
      <c r="AS320" s="168"/>
      <c r="AT320" s="168"/>
      <c r="AU320" s="168"/>
      <c r="AV320" s="168"/>
      <c r="AW320" s="168"/>
    </row>
    <row r="321" spans="1:49" x14ac:dyDescent="0.25">
      <c r="A321" s="180" t="str">
        <f>wp_target&amp;" "&amp;14</f>
        <v>Targeting/Missile Weapons 14</v>
      </c>
      <c r="B321" s="180">
        <v>6</v>
      </c>
      <c r="C321" s="180"/>
      <c r="D321" s="180"/>
      <c r="E321" s="180"/>
      <c r="F321" s="180"/>
      <c r="G321" s="180"/>
      <c r="H321" s="180"/>
      <c r="I321" s="168"/>
      <c r="J321" s="168"/>
      <c r="K321" s="168"/>
      <c r="L321" s="168"/>
      <c r="M321" s="168"/>
      <c r="N321" s="168"/>
      <c r="O321" s="168"/>
      <c r="P321" s="168"/>
      <c r="Q321" s="168"/>
      <c r="R321" s="168"/>
      <c r="S321" s="168"/>
      <c r="T321" s="168"/>
      <c r="U321" s="168"/>
      <c r="V321" s="168"/>
      <c r="W321" s="168"/>
      <c r="X321" s="168"/>
      <c r="Y321" s="168"/>
      <c r="Z321" s="168"/>
      <c r="AA321" s="168"/>
      <c r="AB321" s="168"/>
      <c r="AC321" s="168"/>
      <c r="AD321" s="168"/>
      <c r="AE321" s="168"/>
      <c r="AF321" s="168"/>
      <c r="AG321" s="168"/>
      <c r="AH321" s="168"/>
      <c r="AI321" s="168"/>
      <c r="AJ321" s="168"/>
      <c r="AK321" s="168"/>
      <c r="AL321" s="168"/>
      <c r="AM321" s="168"/>
      <c r="AN321" s="168"/>
      <c r="AO321" s="168"/>
      <c r="AP321" s="168"/>
      <c r="AQ321" s="168"/>
      <c r="AR321" s="168"/>
      <c r="AS321" s="168"/>
      <c r="AT321" s="168"/>
      <c r="AU321" s="168"/>
      <c r="AV321" s="168"/>
      <c r="AW321" s="168"/>
    </row>
    <row r="322" spans="1:49" x14ac:dyDescent="0.25">
      <c r="A322" s="180" t="str">
        <f>wp_target&amp;" "&amp;15</f>
        <v>Targeting/Missile Weapons 15</v>
      </c>
      <c r="B322" s="180">
        <v>6</v>
      </c>
      <c r="C322" s="180"/>
      <c r="D322" s="180"/>
      <c r="E322" s="180"/>
      <c r="F322" s="180"/>
      <c r="G322" s="180"/>
      <c r="H322" s="180"/>
      <c r="I322" s="168"/>
      <c r="J322" s="168"/>
      <c r="K322" s="168"/>
      <c r="L322" s="168"/>
      <c r="M322" s="168"/>
      <c r="N322" s="168"/>
      <c r="O322" s="168"/>
      <c r="P322" s="168"/>
      <c r="Q322" s="168"/>
      <c r="R322" s="168"/>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row>
    <row r="323" spans="1:49" x14ac:dyDescent="0.25">
      <c r="A323" s="180" t="str">
        <f>wp_whip&amp;" "&amp;1</f>
        <v>Whip 1</v>
      </c>
      <c r="B323" s="180"/>
      <c r="C323" s="180" t="e">
        <v>#N/A</v>
      </c>
      <c r="D323" s="180"/>
      <c r="E323" s="180"/>
      <c r="F323" s="180"/>
      <c r="G323" s="180"/>
      <c r="H323" s="180"/>
      <c r="I323" s="168"/>
      <c r="J323" s="168"/>
      <c r="K323" s="168"/>
      <c r="L323" s="168"/>
      <c r="M323" s="168"/>
      <c r="N323" s="168"/>
      <c r="O323" s="168"/>
      <c r="P323" s="168"/>
      <c r="Q323" s="168"/>
      <c r="R323" s="168"/>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8"/>
      <c r="AR323" s="168"/>
      <c r="AS323" s="168"/>
      <c r="AT323" s="168"/>
      <c r="AU323" s="168"/>
      <c r="AV323" s="168"/>
      <c r="AW323" s="168"/>
    </row>
    <row r="324" spans="1:49" x14ac:dyDescent="0.25">
      <c r="A324" s="180" t="str">
        <f>wp_whip&amp;" "&amp;2</f>
        <v>Whip 2</v>
      </c>
      <c r="B324" s="180">
        <v>1</v>
      </c>
      <c r="C324" s="180" t="e">
        <v>#N/A</v>
      </c>
      <c r="D324" s="180"/>
      <c r="E324" s="180">
        <v>1</v>
      </c>
      <c r="F324" s="180">
        <v>1</v>
      </c>
      <c r="G324" s="180"/>
      <c r="H324" s="180"/>
      <c r="I324" s="168"/>
      <c r="J324" s="168"/>
      <c r="K324" s="168"/>
      <c r="L324" s="168"/>
      <c r="M324" s="168"/>
      <c r="N324" s="168"/>
      <c r="O324" s="168"/>
      <c r="P324" s="168"/>
      <c r="Q324" s="168"/>
      <c r="R324" s="168"/>
      <c r="S324" s="168"/>
      <c r="T324" s="168"/>
      <c r="U324" s="168"/>
      <c r="V324" s="168"/>
      <c r="W324" s="168"/>
      <c r="X324" s="168"/>
      <c r="Y324" s="168"/>
      <c r="Z324" s="168"/>
      <c r="AA324" s="168"/>
      <c r="AB324" s="168"/>
      <c r="AC324" s="168"/>
      <c r="AD324" s="168"/>
      <c r="AE324" s="168"/>
      <c r="AF324" s="168"/>
      <c r="AG324" s="168"/>
      <c r="AH324" s="168"/>
      <c r="AI324" s="168"/>
      <c r="AJ324" s="168"/>
      <c r="AK324" s="168"/>
      <c r="AL324" s="168"/>
      <c r="AM324" s="168"/>
      <c r="AN324" s="168"/>
      <c r="AO324" s="168"/>
      <c r="AP324" s="168"/>
      <c r="AQ324" s="168"/>
      <c r="AR324" s="168"/>
      <c r="AS324" s="168"/>
      <c r="AT324" s="168"/>
      <c r="AU324" s="168"/>
      <c r="AV324" s="168"/>
      <c r="AW324" s="168"/>
    </row>
    <row r="325" spans="1:49" x14ac:dyDescent="0.25">
      <c r="A325" s="180" t="str">
        <f>wp_whip&amp;" "&amp;3</f>
        <v>Whip 3</v>
      </c>
      <c r="B325" s="180">
        <v>1</v>
      </c>
      <c r="C325" s="180" t="e">
        <v>#N/A</v>
      </c>
      <c r="D325" s="180"/>
      <c r="E325" s="180">
        <v>1</v>
      </c>
      <c r="F325" s="180">
        <v>1</v>
      </c>
      <c r="G325" s="180"/>
      <c r="H325" s="180"/>
      <c r="I325" s="168"/>
      <c r="J325" s="168"/>
      <c r="K325" s="168"/>
      <c r="L325" s="168"/>
      <c r="M325" s="168"/>
      <c r="N325" s="168"/>
      <c r="O325" s="168"/>
      <c r="P325" s="168"/>
      <c r="Q325" s="168"/>
      <c r="R325" s="168"/>
      <c r="S325" s="168"/>
      <c r="T325" s="168"/>
      <c r="U325" s="168"/>
      <c r="V325" s="168"/>
      <c r="W325" s="168"/>
      <c r="X325" s="168"/>
      <c r="Y325" s="168"/>
      <c r="Z325" s="168"/>
      <c r="AA325" s="168"/>
      <c r="AB325" s="168"/>
      <c r="AC325" s="168"/>
      <c r="AD325" s="168"/>
      <c r="AE325" s="168"/>
      <c r="AF325" s="168"/>
      <c r="AG325" s="168"/>
      <c r="AH325" s="168"/>
      <c r="AI325" s="168"/>
      <c r="AJ325" s="168"/>
      <c r="AK325" s="168"/>
      <c r="AL325" s="168"/>
      <c r="AM325" s="168"/>
      <c r="AN325" s="168"/>
      <c r="AO325" s="168"/>
      <c r="AP325" s="168"/>
      <c r="AQ325" s="168"/>
      <c r="AR325" s="168"/>
      <c r="AS325" s="168"/>
      <c r="AT325" s="168"/>
      <c r="AU325" s="168"/>
      <c r="AV325" s="168"/>
      <c r="AW325" s="168"/>
    </row>
    <row r="326" spans="1:49" x14ac:dyDescent="0.25">
      <c r="A326" s="180" t="str">
        <f>wp_whip&amp;" "&amp;4</f>
        <v>Whip 4</v>
      </c>
      <c r="B326" s="180">
        <v>2</v>
      </c>
      <c r="C326" s="180" t="e">
        <v>#N/A</v>
      </c>
      <c r="D326" s="180"/>
      <c r="E326" s="180">
        <v>2</v>
      </c>
      <c r="F326" s="180">
        <v>2</v>
      </c>
      <c r="G326" s="180"/>
      <c r="H326" s="180"/>
      <c r="I326" s="168"/>
      <c r="J326" s="168"/>
      <c r="K326" s="168"/>
      <c r="L326" s="168"/>
      <c r="M326" s="168"/>
      <c r="N326" s="168"/>
      <c r="O326" s="168"/>
      <c r="P326" s="168"/>
      <c r="Q326" s="168"/>
      <c r="R326" s="168"/>
      <c r="S326" s="168"/>
      <c r="T326" s="168"/>
      <c r="U326" s="168"/>
      <c r="V326" s="168"/>
      <c r="W326" s="168"/>
      <c r="X326" s="168"/>
      <c r="Y326" s="168"/>
      <c r="Z326" s="168"/>
      <c r="AA326" s="168"/>
      <c r="AB326" s="168"/>
      <c r="AC326" s="168"/>
      <c r="AD326" s="168"/>
      <c r="AE326" s="168"/>
      <c r="AF326" s="168"/>
      <c r="AG326" s="168"/>
      <c r="AH326" s="168"/>
      <c r="AI326" s="168"/>
      <c r="AJ326" s="168"/>
      <c r="AK326" s="168"/>
      <c r="AL326" s="168"/>
      <c r="AM326" s="168"/>
      <c r="AN326" s="168"/>
      <c r="AO326" s="168"/>
      <c r="AP326" s="168"/>
      <c r="AQ326" s="168"/>
      <c r="AR326" s="168"/>
      <c r="AS326" s="168"/>
      <c r="AT326" s="168"/>
      <c r="AU326" s="168"/>
      <c r="AV326" s="168"/>
      <c r="AW326" s="168"/>
    </row>
    <row r="327" spans="1:49" x14ac:dyDescent="0.25">
      <c r="A327" s="180" t="str">
        <f>wp_whip&amp;" "&amp;5</f>
        <v>Whip 5</v>
      </c>
      <c r="B327" s="180">
        <v>2</v>
      </c>
      <c r="C327" s="180" t="e">
        <v>#N/A</v>
      </c>
      <c r="D327" s="180"/>
      <c r="E327" s="180">
        <v>2</v>
      </c>
      <c r="F327" s="180">
        <v>2</v>
      </c>
      <c r="G327" s="180"/>
      <c r="H327" s="180"/>
      <c r="I327" s="168"/>
      <c r="J327" s="168"/>
      <c r="K327" s="168"/>
      <c r="L327" s="168"/>
      <c r="M327" s="168"/>
      <c r="N327" s="168"/>
      <c r="O327" s="168"/>
      <c r="P327" s="168"/>
      <c r="Q327" s="168"/>
      <c r="R327" s="168"/>
      <c r="S327" s="168"/>
      <c r="T327" s="168"/>
      <c r="U327" s="168"/>
      <c r="V327" s="168"/>
      <c r="W327" s="168"/>
      <c r="X327" s="168"/>
      <c r="Y327" s="168"/>
      <c r="Z327" s="168"/>
      <c r="AA327" s="168"/>
      <c r="AB327" s="168"/>
      <c r="AC327" s="168"/>
      <c r="AD327" s="168"/>
      <c r="AE327" s="168"/>
      <c r="AF327" s="168"/>
      <c r="AG327" s="168"/>
      <c r="AH327" s="168"/>
      <c r="AI327" s="168"/>
      <c r="AJ327" s="168"/>
      <c r="AK327" s="168"/>
      <c r="AL327" s="168"/>
      <c r="AM327" s="168"/>
      <c r="AN327" s="168"/>
      <c r="AO327" s="168"/>
      <c r="AP327" s="168"/>
      <c r="AQ327" s="168"/>
      <c r="AR327" s="168"/>
      <c r="AS327" s="168"/>
      <c r="AT327" s="168"/>
      <c r="AU327" s="168"/>
      <c r="AV327" s="168"/>
      <c r="AW327" s="168"/>
    </row>
    <row r="328" spans="1:49" x14ac:dyDescent="0.25">
      <c r="A328" s="180" t="str">
        <f>wp_whip&amp;" "&amp;6</f>
        <v>Whip 6</v>
      </c>
      <c r="B328" s="180">
        <v>2</v>
      </c>
      <c r="C328" s="180" t="e">
        <v>#N/A</v>
      </c>
      <c r="D328" s="180"/>
      <c r="E328" s="180">
        <v>2</v>
      </c>
      <c r="F328" s="180">
        <v>2</v>
      </c>
      <c r="G328" s="180"/>
      <c r="H328" s="180"/>
      <c r="I328" s="168"/>
      <c r="J328" s="168"/>
      <c r="K328" s="168"/>
      <c r="L328" s="168"/>
      <c r="M328" s="168"/>
      <c r="N328" s="168"/>
      <c r="O328" s="168"/>
      <c r="P328" s="168"/>
      <c r="Q328" s="168"/>
      <c r="R328" s="168"/>
      <c r="S328" s="168"/>
      <c r="T328" s="168"/>
      <c r="U328" s="168"/>
      <c r="V328" s="168"/>
      <c r="W328" s="168"/>
      <c r="X328" s="168"/>
      <c r="Y328" s="168"/>
      <c r="Z328" s="168"/>
      <c r="AA328" s="168"/>
      <c r="AB328" s="168"/>
      <c r="AC328" s="168"/>
      <c r="AD328" s="168"/>
      <c r="AE328" s="168"/>
      <c r="AF328" s="168"/>
      <c r="AG328" s="168"/>
      <c r="AH328" s="168"/>
      <c r="AI328" s="168"/>
      <c r="AJ328" s="168"/>
      <c r="AK328" s="168"/>
      <c r="AL328" s="168"/>
      <c r="AM328" s="168"/>
      <c r="AN328" s="168"/>
      <c r="AO328" s="168"/>
      <c r="AP328" s="168"/>
      <c r="AQ328" s="168"/>
      <c r="AR328" s="168"/>
      <c r="AS328" s="168"/>
      <c r="AT328" s="168"/>
      <c r="AU328" s="168"/>
      <c r="AV328" s="168"/>
      <c r="AW328" s="168"/>
    </row>
    <row r="329" spans="1:49" x14ac:dyDescent="0.25">
      <c r="A329" s="180" t="str">
        <f>wp_whip&amp;" "&amp;7</f>
        <v>Whip 7</v>
      </c>
      <c r="B329" s="180">
        <v>3</v>
      </c>
      <c r="C329" s="180" t="e">
        <v>#N/A</v>
      </c>
      <c r="D329" s="180"/>
      <c r="E329" s="180">
        <v>3</v>
      </c>
      <c r="F329" s="180">
        <v>2</v>
      </c>
      <c r="G329" s="180"/>
      <c r="H329" s="180"/>
      <c r="I329" s="168"/>
      <c r="J329" s="168"/>
      <c r="K329" s="168"/>
      <c r="L329" s="168"/>
      <c r="M329" s="168"/>
      <c r="N329" s="168"/>
      <c r="O329" s="168"/>
      <c r="P329" s="168"/>
      <c r="Q329" s="168"/>
      <c r="R329" s="168"/>
      <c r="S329" s="168"/>
      <c r="T329" s="168"/>
      <c r="U329" s="168"/>
      <c r="V329" s="168"/>
      <c r="W329" s="168"/>
      <c r="X329" s="168"/>
      <c r="Y329" s="168"/>
      <c r="Z329" s="168"/>
      <c r="AA329" s="168"/>
      <c r="AB329" s="168"/>
      <c r="AC329" s="168"/>
      <c r="AD329" s="168"/>
      <c r="AE329" s="168"/>
      <c r="AF329" s="168"/>
      <c r="AG329" s="168"/>
      <c r="AH329" s="168"/>
      <c r="AI329" s="168"/>
      <c r="AJ329" s="168"/>
      <c r="AK329" s="168"/>
      <c r="AL329" s="168"/>
      <c r="AM329" s="168"/>
      <c r="AN329" s="168"/>
      <c r="AO329" s="168"/>
      <c r="AP329" s="168"/>
      <c r="AQ329" s="168"/>
      <c r="AR329" s="168"/>
      <c r="AS329" s="168"/>
      <c r="AT329" s="168"/>
      <c r="AU329" s="168"/>
      <c r="AV329" s="168"/>
      <c r="AW329" s="168"/>
    </row>
    <row r="330" spans="1:49" x14ac:dyDescent="0.25">
      <c r="A330" s="180" t="str">
        <f>wp_whip&amp;" "&amp;8</f>
        <v>Whip 8</v>
      </c>
      <c r="B330" s="180">
        <v>3</v>
      </c>
      <c r="C330" s="180" t="e">
        <v>#N/A</v>
      </c>
      <c r="D330" s="180"/>
      <c r="E330" s="180">
        <v>3</v>
      </c>
      <c r="F330" s="180">
        <v>3</v>
      </c>
      <c r="G330" s="180"/>
      <c r="H330" s="180"/>
      <c r="I330" s="168"/>
      <c r="J330" s="168"/>
      <c r="K330" s="168"/>
      <c r="L330" s="168"/>
      <c r="M330" s="168"/>
      <c r="N330" s="168"/>
      <c r="O330" s="168"/>
      <c r="P330" s="168"/>
      <c r="Q330" s="168"/>
      <c r="R330" s="168"/>
      <c r="S330" s="168"/>
      <c r="T330" s="168"/>
      <c r="U330" s="168"/>
      <c r="V330" s="168"/>
      <c r="W330" s="168"/>
      <c r="X330" s="168"/>
      <c r="Y330" s="168"/>
      <c r="Z330" s="168"/>
      <c r="AA330" s="168"/>
      <c r="AB330" s="168"/>
      <c r="AC330" s="168"/>
      <c r="AD330" s="168"/>
      <c r="AE330" s="168"/>
      <c r="AF330" s="168"/>
      <c r="AG330" s="168"/>
      <c r="AH330" s="168"/>
      <c r="AI330" s="168"/>
      <c r="AJ330" s="168"/>
      <c r="AK330" s="168"/>
      <c r="AL330" s="168"/>
      <c r="AM330" s="168"/>
      <c r="AN330" s="168"/>
      <c r="AO330" s="168"/>
      <c r="AP330" s="168"/>
      <c r="AQ330" s="168"/>
      <c r="AR330" s="168"/>
      <c r="AS330" s="168"/>
      <c r="AT330" s="168"/>
      <c r="AU330" s="168"/>
      <c r="AV330" s="168"/>
      <c r="AW330" s="168"/>
    </row>
    <row r="331" spans="1:49" x14ac:dyDescent="0.25">
      <c r="A331" s="180" t="str">
        <f>wp_whip&amp;" "&amp;9</f>
        <v>Whip 9</v>
      </c>
      <c r="B331" s="180">
        <v>3</v>
      </c>
      <c r="C331" s="180" t="e">
        <v>#N/A</v>
      </c>
      <c r="D331" s="180"/>
      <c r="E331" s="180">
        <v>3</v>
      </c>
      <c r="F331" s="180">
        <v>3</v>
      </c>
      <c r="G331" s="180"/>
      <c r="H331" s="180"/>
      <c r="I331" s="168"/>
      <c r="J331" s="168"/>
      <c r="K331" s="168"/>
      <c r="L331" s="168"/>
      <c r="M331" s="168"/>
      <c r="N331" s="168"/>
      <c r="O331" s="168"/>
      <c r="P331" s="168"/>
      <c r="Q331" s="168"/>
      <c r="R331" s="168"/>
      <c r="S331" s="168"/>
      <c r="T331" s="168"/>
      <c r="U331" s="168"/>
      <c r="V331" s="168"/>
      <c r="W331" s="168"/>
      <c r="X331" s="168"/>
      <c r="Y331" s="168"/>
      <c r="Z331" s="168"/>
      <c r="AA331" s="168"/>
      <c r="AB331" s="168"/>
      <c r="AC331" s="168"/>
      <c r="AD331" s="168"/>
      <c r="AE331" s="168"/>
      <c r="AF331" s="168"/>
      <c r="AG331" s="168"/>
      <c r="AH331" s="168"/>
      <c r="AI331" s="168"/>
      <c r="AJ331" s="168"/>
      <c r="AK331" s="168"/>
      <c r="AL331" s="168"/>
      <c r="AM331" s="168"/>
      <c r="AN331" s="168"/>
      <c r="AO331" s="168"/>
      <c r="AP331" s="168"/>
      <c r="AQ331" s="168"/>
      <c r="AR331" s="168"/>
      <c r="AS331" s="168"/>
      <c r="AT331" s="168"/>
      <c r="AU331" s="168"/>
      <c r="AV331" s="168"/>
      <c r="AW331" s="168"/>
    </row>
    <row r="332" spans="1:49" x14ac:dyDescent="0.25">
      <c r="A332" s="180" t="str">
        <f>wp_whip&amp;" "&amp;10</f>
        <v>Whip 10</v>
      </c>
      <c r="B332" s="180">
        <v>4</v>
      </c>
      <c r="C332" s="180" t="e">
        <v>#N/A</v>
      </c>
      <c r="D332" s="180"/>
      <c r="E332" s="180">
        <v>4</v>
      </c>
      <c r="F332" s="180">
        <v>3</v>
      </c>
      <c r="G332" s="180"/>
      <c r="H332" s="180"/>
      <c r="I332" s="168"/>
      <c r="J332" s="168"/>
      <c r="K332" s="168"/>
      <c r="L332" s="168"/>
      <c r="M332" s="168"/>
      <c r="N332" s="168"/>
      <c r="O332" s="168"/>
      <c r="P332" s="168"/>
      <c r="Q332" s="168"/>
      <c r="R332" s="168"/>
      <c r="S332" s="168"/>
      <c r="T332" s="168"/>
      <c r="U332" s="168"/>
      <c r="V332" s="168"/>
      <c r="W332" s="168"/>
      <c r="X332" s="168"/>
      <c r="Y332" s="168"/>
      <c r="Z332" s="168"/>
      <c r="AA332" s="168"/>
      <c r="AB332" s="168"/>
      <c r="AC332" s="168"/>
      <c r="AD332" s="168"/>
      <c r="AE332" s="168"/>
      <c r="AF332" s="168"/>
      <c r="AG332" s="168"/>
      <c r="AH332" s="168"/>
      <c r="AI332" s="168"/>
      <c r="AJ332" s="168"/>
      <c r="AK332" s="168"/>
      <c r="AL332" s="168"/>
      <c r="AM332" s="168"/>
      <c r="AN332" s="168"/>
      <c r="AO332" s="168"/>
      <c r="AP332" s="168"/>
      <c r="AQ332" s="168"/>
      <c r="AR332" s="168"/>
      <c r="AS332" s="168"/>
      <c r="AT332" s="168"/>
      <c r="AU332" s="168"/>
      <c r="AV332" s="168"/>
      <c r="AW332" s="168"/>
    </row>
    <row r="333" spans="1:49" x14ac:dyDescent="0.25">
      <c r="A333" s="180" t="str">
        <f>wp_whip&amp;" "&amp;11</f>
        <v>Whip 11</v>
      </c>
      <c r="B333" s="180">
        <v>4</v>
      </c>
      <c r="C333" s="180" t="e">
        <v>#N/A</v>
      </c>
      <c r="D333" s="180"/>
      <c r="E333" s="180">
        <v>4</v>
      </c>
      <c r="F333" s="180">
        <v>3</v>
      </c>
      <c r="G333" s="180"/>
      <c r="H333" s="180"/>
      <c r="I333" s="168"/>
      <c r="J333" s="168"/>
      <c r="K333" s="168"/>
      <c r="L333" s="168"/>
      <c r="M333" s="168"/>
      <c r="N333" s="168"/>
      <c r="O333" s="168"/>
      <c r="P333" s="168"/>
      <c r="Q333" s="168"/>
      <c r="R333" s="168"/>
      <c r="S333" s="168"/>
      <c r="T333" s="168"/>
      <c r="U333" s="168"/>
      <c r="V333" s="168"/>
      <c r="W333" s="168"/>
      <c r="X333" s="168"/>
      <c r="Y333" s="168"/>
      <c r="Z333" s="168"/>
      <c r="AA333" s="168"/>
      <c r="AB333" s="168"/>
      <c r="AC333" s="168"/>
      <c r="AD333" s="168"/>
      <c r="AE333" s="168"/>
      <c r="AF333" s="168"/>
      <c r="AG333" s="168"/>
      <c r="AH333" s="168"/>
      <c r="AI333" s="168"/>
      <c r="AJ333" s="168"/>
      <c r="AK333" s="168"/>
      <c r="AL333" s="168"/>
      <c r="AM333" s="168"/>
      <c r="AN333" s="168"/>
      <c r="AO333" s="168"/>
      <c r="AP333" s="168"/>
      <c r="AQ333" s="168"/>
      <c r="AR333" s="168"/>
      <c r="AS333" s="168"/>
      <c r="AT333" s="168"/>
      <c r="AU333" s="168"/>
      <c r="AV333" s="168"/>
      <c r="AW333" s="168"/>
    </row>
    <row r="334" spans="1:49" x14ac:dyDescent="0.25">
      <c r="A334" s="180" t="str">
        <f>wp_whip&amp;" "&amp;12</f>
        <v>Whip 12</v>
      </c>
      <c r="B334" s="180">
        <v>4</v>
      </c>
      <c r="C334" s="180" t="e">
        <v>#N/A</v>
      </c>
      <c r="D334" s="180"/>
      <c r="E334" s="180">
        <v>4</v>
      </c>
      <c r="F334" s="180">
        <v>4</v>
      </c>
      <c r="G334" s="180"/>
      <c r="H334" s="180"/>
      <c r="I334" s="168"/>
      <c r="J334" s="168"/>
      <c r="K334" s="168"/>
      <c r="L334" s="168"/>
      <c r="M334" s="168"/>
      <c r="N334" s="168"/>
      <c r="O334" s="168"/>
      <c r="P334" s="168"/>
      <c r="Q334" s="168"/>
      <c r="R334" s="168"/>
      <c r="S334" s="168"/>
      <c r="T334" s="168"/>
      <c r="U334" s="168"/>
      <c r="V334" s="168"/>
      <c r="W334" s="168"/>
      <c r="X334" s="168"/>
      <c r="Y334" s="168"/>
      <c r="Z334" s="168"/>
      <c r="AA334" s="168"/>
      <c r="AB334" s="168"/>
      <c r="AC334" s="168"/>
      <c r="AD334" s="168"/>
      <c r="AE334" s="168"/>
      <c r="AF334" s="168"/>
      <c r="AG334" s="168"/>
      <c r="AH334" s="168"/>
      <c r="AI334" s="168"/>
      <c r="AJ334" s="168"/>
      <c r="AK334" s="168"/>
      <c r="AL334" s="168"/>
      <c r="AM334" s="168"/>
      <c r="AN334" s="168"/>
      <c r="AO334" s="168"/>
      <c r="AP334" s="168"/>
      <c r="AQ334" s="168"/>
      <c r="AR334" s="168"/>
      <c r="AS334" s="168"/>
      <c r="AT334" s="168"/>
      <c r="AU334" s="168"/>
      <c r="AV334" s="168"/>
      <c r="AW334" s="168"/>
    </row>
    <row r="335" spans="1:49" x14ac:dyDescent="0.25">
      <c r="A335" s="180" t="str">
        <f>wp_whip&amp;" "&amp;13</f>
        <v>Whip 13</v>
      </c>
      <c r="B335" s="180">
        <v>5</v>
      </c>
      <c r="C335" s="180" t="e">
        <v>#N/A</v>
      </c>
      <c r="D335" s="180"/>
      <c r="E335" s="180">
        <v>5</v>
      </c>
      <c r="F335" s="180">
        <v>4</v>
      </c>
      <c r="G335" s="180"/>
      <c r="H335" s="180"/>
      <c r="I335" s="168"/>
      <c r="J335" s="168"/>
      <c r="K335" s="168"/>
      <c r="L335" s="168"/>
      <c r="M335" s="168"/>
      <c r="N335" s="168"/>
      <c r="O335" s="168"/>
      <c r="P335" s="168"/>
      <c r="Q335" s="168"/>
      <c r="R335" s="168"/>
      <c r="S335" s="168"/>
      <c r="T335" s="168"/>
      <c r="U335" s="168"/>
      <c r="V335" s="168"/>
      <c r="W335" s="168"/>
      <c r="X335" s="168"/>
      <c r="Y335" s="168"/>
      <c r="Z335" s="168"/>
      <c r="AA335" s="168"/>
      <c r="AB335" s="168"/>
      <c r="AC335" s="168"/>
      <c r="AD335" s="168"/>
      <c r="AE335" s="168"/>
      <c r="AF335" s="168"/>
      <c r="AG335" s="168"/>
      <c r="AH335" s="168"/>
      <c r="AI335" s="168"/>
      <c r="AJ335" s="168"/>
      <c r="AK335" s="168"/>
      <c r="AL335" s="168"/>
      <c r="AM335" s="168"/>
      <c r="AN335" s="168"/>
      <c r="AO335" s="168"/>
      <c r="AP335" s="168"/>
      <c r="AQ335" s="168"/>
      <c r="AR335" s="168"/>
      <c r="AS335" s="168"/>
      <c r="AT335" s="168"/>
      <c r="AU335" s="168"/>
      <c r="AV335" s="168"/>
      <c r="AW335" s="168"/>
    </row>
    <row r="336" spans="1:49" x14ac:dyDescent="0.25">
      <c r="A336" s="180" t="str">
        <f>wp_whip&amp;" "&amp;14</f>
        <v>Whip 14</v>
      </c>
      <c r="B336" s="180">
        <v>5</v>
      </c>
      <c r="C336" s="180" t="e">
        <v>#N/A</v>
      </c>
      <c r="D336" s="180"/>
      <c r="E336" s="180">
        <v>5</v>
      </c>
      <c r="F336" s="180">
        <v>4</v>
      </c>
      <c r="G336" s="180"/>
      <c r="H336" s="180"/>
      <c r="I336" s="168"/>
      <c r="J336" s="168"/>
      <c r="K336" s="168"/>
      <c r="L336" s="168"/>
      <c r="M336" s="168"/>
      <c r="N336" s="168"/>
      <c r="O336" s="168"/>
      <c r="P336" s="168"/>
      <c r="Q336" s="168"/>
      <c r="R336" s="168"/>
      <c r="S336" s="168"/>
      <c r="T336" s="168"/>
      <c r="U336" s="168"/>
      <c r="V336" s="168"/>
      <c r="W336" s="168"/>
      <c r="X336" s="168"/>
      <c r="Y336" s="168"/>
      <c r="Z336" s="168"/>
      <c r="AA336" s="168"/>
      <c r="AB336" s="168"/>
      <c r="AC336" s="168"/>
      <c r="AD336" s="168"/>
      <c r="AE336" s="168"/>
      <c r="AF336" s="168"/>
      <c r="AG336" s="168"/>
      <c r="AH336" s="168"/>
      <c r="AI336" s="168"/>
      <c r="AJ336" s="168"/>
      <c r="AK336" s="168"/>
      <c r="AL336" s="168"/>
      <c r="AM336" s="168"/>
      <c r="AN336" s="168"/>
      <c r="AO336" s="168"/>
      <c r="AP336" s="168"/>
      <c r="AQ336" s="168"/>
      <c r="AR336" s="168"/>
      <c r="AS336" s="168"/>
      <c r="AT336" s="168"/>
      <c r="AU336" s="168"/>
      <c r="AV336" s="168"/>
      <c r="AW336" s="168"/>
    </row>
    <row r="337" spans="1:49" x14ac:dyDescent="0.25">
      <c r="A337" s="180" t="str">
        <f>wp_whip&amp;" "&amp;15</f>
        <v>Whip 15</v>
      </c>
      <c r="B337" s="180">
        <v>5</v>
      </c>
      <c r="C337" s="180" t="e">
        <v>#N/A</v>
      </c>
      <c r="D337" s="180"/>
      <c r="E337" s="180">
        <v>5</v>
      </c>
      <c r="F337" s="180">
        <v>4</v>
      </c>
      <c r="G337" s="180"/>
      <c r="H337" s="180"/>
      <c r="I337" s="168"/>
      <c r="J337" s="168"/>
      <c r="K337" s="168"/>
      <c r="L337" s="168"/>
      <c r="M337" s="168"/>
      <c r="N337" s="168"/>
      <c r="O337" s="168"/>
      <c r="P337" s="168"/>
      <c r="Q337" s="168"/>
      <c r="R337" s="168"/>
      <c r="S337" s="168"/>
      <c r="T337" s="168"/>
      <c r="U337" s="168"/>
      <c r="V337" s="168"/>
      <c r="W337" s="168"/>
      <c r="X337" s="168"/>
      <c r="Y337" s="168"/>
      <c r="Z337" s="168"/>
      <c r="AA337" s="168"/>
      <c r="AB337" s="168"/>
      <c r="AC337" s="168"/>
      <c r="AD337" s="168"/>
      <c r="AE337" s="168"/>
      <c r="AF337" s="168"/>
      <c r="AG337" s="168"/>
      <c r="AH337" s="168"/>
      <c r="AI337" s="168"/>
      <c r="AJ337" s="168"/>
      <c r="AK337" s="168"/>
      <c r="AL337" s="168"/>
      <c r="AM337" s="168"/>
      <c r="AN337" s="168"/>
      <c r="AO337" s="168"/>
      <c r="AP337" s="168"/>
      <c r="AQ337" s="168"/>
      <c r="AR337" s="168"/>
      <c r="AS337" s="168"/>
      <c r="AT337" s="168"/>
      <c r="AU337" s="168"/>
      <c r="AV337" s="168"/>
      <c r="AW337" s="168"/>
    </row>
    <row r="338" spans="1:49" x14ac:dyDescent="0.25">
      <c r="A338" s="168"/>
      <c r="B338" s="168"/>
      <c r="C338" s="168"/>
      <c r="D338" s="168"/>
      <c r="E338" s="168"/>
      <c r="F338" s="168"/>
      <c r="G338" s="168"/>
      <c r="H338" s="168"/>
      <c r="I338" s="168"/>
      <c r="J338" s="168"/>
      <c r="K338" s="168"/>
      <c r="L338" s="168"/>
      <c r="M338" s="168"/>
      <c r="N338" s="168"/>
      <c r="O338" s="168"/>
      <c r="P338" s="168"/>
      <c r="Q338" s="168"/>
      <c r="R338" s="168"/>
      <c r="S338" s="168"/>
      <c r="T338" s="168"/>
      <c r="U338" s="168"/>
      <c r="V338" s="168"/>
      <c r="W338" s="168"/>
      <c r="X338" s="168"/>
      <c r="Y338" s="168"/>
      <c r="Z338" s="168"/>
      <c r="AA338" s="168"/>
      <c r="AB338" s="168"/>
      <c r="AC338" s="168"/>
      <c r="AD338" s="168"/>
      <c r="AE338" s="168"/>
      <c r="AF338" s="168"/>
      <c r="AG338" s="168"/>
      <c r="AH338" s="168"/>
      <c r="AI338" s="168"/>
      <c r="AJ338" s="168"/>
      <c r="AK338" s="168"/>
      <c r="AL338" s="168"/>
      <c r="AM338" s="168"/>
      <c r="AN338" s="168"/>
      <c r="AO338" s="168"/>
      <c r="AP338" s="168"/>
      <c r="AQ338" s="168"/>
      <c r="AR338" s="168"/>
      <c r="AS338" s="168"/>
      <c r="AT338" s="168"/>
      <c r="AU338" s="168"/>
      <c r="AV338" s="168"/>
      <c r="AW338" s="168"/>
    </row>
    <row r="339" spans="1:49" x14ac:dyDescent="0.25">
      <c r="A339" s="168"/>
      <c r="B339" s="168"/>
      <c r="C339" s="168"/>
      <c r="D339" s="168"/>
      <c r="E339" s="168"/>
      <c r="F339" s="168"/>
      <c r="G339" s="168"/>
      <c r="H339" s="168"/>
      <c r="I339" s="168"/>
      <c r="J339" s="168"/>
      <c r="K339" s="168"/>
      <c r="L339" s="168"/>
      <c r="M339" s="168"/>
      <c r="N339" s="168"/>
      <c r="O339" s="168"/>
      <c r="P339" s="168"/>
      <c r="Q339" s="168"/>
      <c r="R339" s="168"/>
      <c r="S339" s="168"/>
      <c r="T339" s="168"/>
      <c r="U339" s="168"/>
      <c r="V339" s="168"/>
      <c r="W339" s="168"/>
      <c r="X339" s="168"/>
      <c r="Y339" s="168"/>
      <c r="Z339" s="168"/>
      <c r="AA339" s="168"/>
      <c r="AB339" s="168"/>
      <c r="AC339" s="168"/>
      <c r="AD339" s="168"/>
      <c r="AE339" s="168"/>
      <c r="AF339" s="168"/>
      <c r="AG339" s="168"/>
      <c r="AH339" s="168"/>
      <c r="AI339" s="168"/>
      <c r="AJ339" s="168"/>
      <c r="AK339" s="168"/>
      <c r="AL339" s="168"/>
      <c r="AM339" s="168"/>
      <c r="AN339" s="168"/>
      <c r="AO339" s="168"/>
      <c r="AP339" s="168"/>
      <c r="AQ339" s="168"/>
      <c r="AR339" s="168"/>
      <c r="AS339" s="168"/>
      <c r="AT339" s="168"/>
      <c r="AU339" s="168"/>
      <c r="AV339" s="168"/>
      <c r="AW339" s="168"/>
    </row>
    <row r="340" spans="1:49" x14ac:dyDescent="0.25">
      <c r="A340" s="168"/>
      <c r="B340" s="168"/>
      <c r="C340" s="168"/>
      <c r="D340" s="168"/>
      <c r="E340" s="168"/>
      <c r="F340" s="168"/>
      <c r="G340" s="168"/>
      <c r="H340" s="168"/>
      <c r="I340" s="168"/>
      <c r="J340" s="168"/>
      <c r="K340" s="168"/>
      <c r="L340" s="168"/>
      <c r="M340" s="168"/>
      <c r="N340" s="168"/>
      <c r="O340" s="168"/>
      <c r="P340" s="168"/>
      <c r="Q340" s="168"/>
      <c r="R340" s="168"/>
      <c r="S340" s="168"/>
      <c r="T340" s="168"/>
      <c r="U340" s="168"/>
      <c r="V340" s="168"/>
      <c r="W340" s="168"/>
      <c r="X340" s="168"/>
      <c r="Y340" s="168"/>
      <c r="Z340" s="168"/>
      <c r="AA340" s="168"/>
      <c r="AB340" s="168"/>
      <c r="AC340" s="168"/>
      <c r="AD340" s="168"/>
      <c r="AE340" s="168"/>
      <c r="AF340" s="168"/>
      <c r="AG340" s="168"/>
      <c r="AH340" s="168"/>
      <c r="AI340" s="168"/>
      <c r="AJ340" s="168"/>
      <c r="AK340" s="168"/>
      <c r="AL340" s="168"/>
      <c r="AM340" s="168"/>
      <c r="AN340" s="168"/>
      <c r="AO340" s="168"/>
      <c r="AP340" s="168"/>
      <c r="AQ340" s="168"/>
      <c r="AR340" s="168"/>
      <c r="AS340" s="168"/>
      <c r="AT340" s="168"/>
      <c r="AU340" s="168"/>
      <c r="AV340" s="168"/>
      <c r="AW340" s="168"/>
    </row>
    <row r="341" spans="1:49" x14ac:dyDescent="0.25">
      <c r="A341" s="168"/>
      <c r="B341" s="168"/>
      <c r="C341" s="168"/>
      <c r="D341" s="168"/>
      <c r="E341" s="168"/>
      <c r="F341" s="168"/>
      <c r="G341" s="168"/>
      <c r="H341" s="168"/>
      <c r="I341" s="168"/>
      <c r="J341" s="168"/>
      <c r="K341" s="168"/>
      <c r="L341" s="168"/>
      <c r="M341" s="168"/>
      <c r="N341" s="168"/>
      <c r="O341" s="168"/>
      <c r="P341" s="168"/>
      <c r="Q341" s="168"/>
      <c r="R341" s="168"/>
      <c r="S341" s="168"/>
      <c r="T341" s="168"/>
      <c r="U341" s="168"/>
      <c r="V341" s="168"/>
      <c r="W341" s="168"/>
      <c r="X341" s="168"/>
      <c r="Y341" s="168"/>
      <c r="Z341" s="168"/>
      <c r="AA341" s="168"/>
      <c r="AB341" s="168"/>
      <c r="AC341" s="168"/>
      <c r="AD341" s="168"/>
      <c r="AE341" s="168"/>
      <c r="AF341" s="168"/>
      <c r="AG341" s="168"/>
      <c r="AH341" s="168"/>
      <c r="AI341" s="168"/>
      <c r="AJ341" s="168"/>
      <c r="AK341" s="168"/>
      <c r="AL341" s="168"/>
      <c r="AM341" s="168"/>
      <c r="AN341" s="168"/>
      <c r="AO341" s="168"/>
      <c r="AP341" s="168"/>
      <c r="AQ341" s="168"/>
      <c r="AR341" s="168"/>
      <c r="AS341" s="168"/>
      <c r="AT341" s="168"/>
      <c r="AU341" s="168"/>
      <c r="AV341" s="168"/>
      <c r="AW341" s="168"/>
    </row>
    <row r="342" spans="1:49" x14ac:dyDescent="0.25">
      <c r="A342" s="168"/>
      <c r="B342" s="168"/>
      <c r="C342" s="168"/>
      <c r="D342" s="168"/>
      <c r="E342" s="168"/>
      <c r="F342" s="168"/>
      <c r="G342" s="168"/>
      <c r="H342" s="168"/>
      <c r="I342" s="168"/>
      <c r="J342" s="168"/>
      <c r="K342" s="168"/>
      <c r="L342" s="168"/>
      <c r="M342" s="168"/>
      <c r="N342" s="168"/>
      <c r="O342" s="168"/>
      <c r="P342" s="168"/>
      <c r="Q342" s="168"/>
      <c r="R342" s="168"/>
      <c r="S342" s="168"/>
      <c r="T342" s="168"/>
      <c r="U342" s="168"/>
      <c r="V342" s="168"/>
      <c r="W342" s="168"/>
      <c r="X342" s="168"/>
      <c r="Y342" s="168"/>
      <c r="Z342" s="168"/>
      <c r="AA342" s="168"/>
      <c r="AB342" s="168"/>
      <c r="AC342" s="168"/>
      <c r="AD342" s="168"/>
      <c r="AE342" s="168"/>
      <c r="AF342" s="168"/>
      <c r="AG342" s="168"/>
      <c r="AH342" s="168"/>
      <c r="AI342" s="168"/>
      <c r="AJ342" s="168"/>
      <c r="AK342" s="168"/>
      <c r="AL342" s="168"/>
      <c r="AM342" s="168"/>
      <c r="AN342" s="168"/>
      <c r="AO342" s="168"/>
      <c r="AP342" s="168"/>
      <c r="AQ342" s="168"/>
      <c r="AR342" s="168"/>
      <c r="AS342" s="168"/>
      <c r="AT342" s="168"/>
      <c r="AU342" s="168"/>
      <c r="AV342" s="168"/>
      <c r="AW342" s="168"/>
    </row>
    <row r="343" spans="1:49" x14ac:dyDescent="0.25">
      <c r="A343" s="168"/>
      <c r="B343" s="168"/>
      <c r="C343" s="168"/>
      <c r="D343" s="168"/>
      <c r="E343" s="168"/>
      <c r="F343" s="168"/>
      <c r="G343" s="168"/>
      <c r="H343" s="168"/>
      <c r="I343" s="168"/>
      <c r="J343" s="168"/>
      <c r="K343" s="168"/>
      <c r="L343" s="168"/>
      <c r="M343" s="168"/>
      <c r="N343" s="168"/>
      <c r="O343" s="168"/>
      <c r="P343" s="168"/>
      <c r="Q343" s="168"/>
      <c r="R343" s="168"/>
      <c r="S343" s="168"/>
      <c r="T343" s="168"/>
      <c r="U343" s="168"/>
      <c r="V343" s="168"/>
      <c r="W343" s="168"/>
      <c r="X343" s="168"/>
      <c r="Y343" s="168"/>
      <c r="Z343" s="168"/>
      <c r="AA343" s="168"/>
      <c r="AB343" s="168"/>
      <c r="AC343" s="168"/>
      <c r="AD343" s="168"/>
      <c r="AE343" s="168"/>
      <c r="AF343" s="168"/>
      <c r="AG343" s="168"/>
      <c r="AH343" s="168"/>
      <c r="AI343" s="168"/>
      <c r="AJ343" s="168"/>
      <c r="AK343" s="168"/>
      <c r="AL343" s="168"/>
      <c r="AM343" s="168"/>
      <c r="AN343" s="168"/>
      <c r="AO343" s="168"/>
      <c r="AP343" s="168"/>
      <c r="AQ343" s="168"/>
      <c r="AR343" s="168"/>
      <c r="AS343" s="168"/>
      <c r="AT343" s="168"/>
      <c r="AU343" s="168"/>
      <c r="AV343" s="168"/>
      <c r="AW343" s="168"/>
    </row>
    <row r="344" spans="1:49" x14ac:dyDescent="0.25">
      <c r="A344" s="168"/>
      <c r="B344" s="168"/>
      <c r="C344" s="168"/>
      <c r="D344" s="168"/>
      <c r="E344" s="168"/>
      <c r="F344" s="168"/>
      <c r="G344" s="168"/>
      <c r="H344" s="168"/>
      <c r="I344" s="168"/>
      <c r="J344" s="168"/>
      <c r="K344" s="168"/>
      <c r="L344" s="168"/>
      <c r="M344" s="168"/>
      <c r="N344" s="168"/>
      <c r="O344" s="168"/>
      <c r="P344" s="168"/>
      <c r="Q344" s="168"/>
      <c r="R344" s="168"/>
      <c r="S344" s="168"/>
      <c r="T344" s="168"/>
      <c r="U344" s="168"/>
      <c r="V344" s="168"/>
      <c r="W344" s="168"/>
      <c r="X344" s="168"/>
      <c r="Y344" s="168"/>
      <c r="Z344" s="168"/>
      <c r="AA344" s="168"/>
      <c r="AB344" s="168"/>
      <c r="AC344" s="168"/>
      <c r="AD344" s="168"/>
      <c r="AE344" s="168"/>
      <c r="AF344" s="168"/>
      <c r="AG344" s="168"/>
      <c r="AH344" s="168"/>
      <c r="AI344" s="168"/>
      <c r="AJ344" s="168"/>
      <c r="AK344" s="168"/>
      <c r="AL344" s="168"/>
      <c r="AM344" s="168"/>
      <c r="AN344" s="168"/>
      <c r="AO344" s="168"/>
      <c r="AP344" s="168"/>
      <c r="AQ344" s="168"/>
      <c r="AR344" s="168"/>
      <c r="AS344" s="168"/>
      <c r="AT344" s="168"/>
      <c r="AU344" s="168"/>
      <c r="AV344" s="168"/>
      <c r="AW344" s="168"/>
    </row>
    <row r="345" spans="1:49" x14ac:dyDescent="0.25">
      <c r="A345" s="168"/>
      <c r="B345" s="168"/>
      <c r="C345" s="168"/>
      <c r="D345" s="168"/>
      <c r="E345" s="168"/>
      <c r="F345" s="168"/>
      <c r="G345" s="168"/>
      <c r="H345" s="168"/>
      <c r="I345" s="168"/>
      <c r="J345" s="168"/>
      <c r="K345" s="168"/>
      <c r="L345" s="168"/>
      <c r="M345" s="168"/>
      <c r="N345" s="168"/>
      <c r="O345" s="168"/>
      <c r="P345" s="168"/>
      <c r="Q345" s="168"/>
      <c r="R345" s="168"/>
      <c r="S345" s="168"/>
      <c r="T345" s="168"/>
      <c r="U345" s="168"/>
      <c r="V345" s="168"/>
      <c r="W345" s="168"/>
      <c r="X345" s="168"/>
      <c r="Y345" s="168"/>
      <c r="Z345" s="168"/>
      <c r="AA345" s="168"/>
      <c r="AB345" s="168"/>
      <c r="AC345" s="168"/>
      <c r="AD345" s="168"/>
      <c r="AE345" s="168"/>
      <c r="AF345" s="168"/>
      <c r="AG345" s="168"/>
      <c r="AH345" s="168"/>
      <c r="AI345" s="168"/>
      <c r="AJ345" s="168"/>
      <c r="AK345" s="168"/>
      <c r="AL345" s="168"/>
      <c r="AM345" s="168"/>
      <c r="AN345" s="168"/>
      <c r="AO345" s="168"/>
      <c r="AP345" s="168"/>
      <c r="AQ345" s="168"/>
      <c r="AR345" s="168"/>
      <c r="AS345" s="168"/>
      <c r="AT345" s="168"/>
      <c r="AU345" s="168"/>
      <c r="AV345" s="168"/>
      <c r="AW345" s="168"/>
    </row>
    <row r="346" spans="1:49" x14ac:dyDescent="0.25">
      <c r="A346" s="168"/>
      <c r="B346" s="168"/>
      <c r="C346" s="168"/>
      <c r="D346" s="168"/>
      <c r="E346" s="168"/>
      <c r="F346" s="168"/>
      <c r="G346" s="168"/>
      <c r="H346" s="168"/>
      <c r="I346" s="168"/>
      <c r="J346" s="168"/>
      <c r="K346" s="168"/>
      <c r="L346" s="168"/>
      <c r="M346" s="168"/>
      <c r="N346" s="168"/>
      <c r="O346" s="168"/>
      <c r="P346" s="168"/>
      <c r="Q346" s="168"/>
      <c r="R346" s="168"/>
      <c r="S346" s="168"/>
      <c r="T346" s="168"/>
      <c r="U346" s="168"/>
      <c r="V346" s="168"/>
      <c r="W346" s="168"/>
      <c r="X346" s="168"/>
      <c r="Y346" s="168"/>
      <c r="Z346" s="168"/>
      <c r="AA346" s="168"/>
      <c r="AB346" s="168"/>
      <c r="AC346" s="168"/>
      <c r="AD346" s="168"/>
      <c r="AE346" s="168"/>
      <c r="AF346" s="168"/>
      <c r="AG346" s="168"/>
      <c r="AH346" s="168"/>
      <c r="AI346" s="168"/>
      <c r="AJ346" s="168"/>
      <c r="AK346" s="168"/>
      <c r="AL346" s="168"/>
      <c r="AM346" s="168"/>
      <c r="AN346" s="168"/>
      <c r="AO346" s="168"/>
      <c r="AP346" s="168"/>
      <c r="AQ346" s="168"/>
      <c r="AR346" s="168"/>
      <c r="AS346" s="168"/>
      <c r="AT346" s="168"/>
      <c r="AU346" s="168"/>
      <c r="AV346" s="168"/>
      <c r="AW346" s="168"/>
    </row>
    <row r="347" spans="1:49" x14ac:dyDescent="0.25">
      <c r="A347" s="168"/>
      <c r="B347" s="168"/>
      <c r="C347" s="168"/>
      <c r="D347" s="168"/>
      <c r="E347" s="168"/>
      <c r="F347" s="168"/>
      <c r="G347" s="168"/>
      <c r="H347" s="168"/>
      <c r="I347" s="168"/>
      <c r="J347" s="168"/>
      <c r="K347" s="168"/>
      <c r="L347" s="168"/>
      <c r="M347" s="168"/>
      <c r="N347" s="168"/>
      <c r="O347" s="168"/>
      <c r="P347" s="168"/>
      <c r="Q347" s="168"/>
      <c r="R347" s="168"/>
      <c r="S347" s="168"/>
      <c r="T347" s="168"/>
      <c r="U347" s="168"/>
      <c r="V347" s="168"/>
      <c r="W347" s="168"/>
      <c r="X347" s="168"/>
      <c r="Y347" s="168"/>
      <c r="Z347" s="168"/>
      <c r="AA347" s="168"/>
      <c r="AB347" s="168"/>
      <c r="AC347" s="168"/>
      <c r="AD347" s="168"/>
      <c r="AE347" s="168"/>
      <c r="AF347" s="168"/>
      <c r="AG347" s="168"/>
      <c r="AH347" s="168"/>
      <c r="AI347" s="168"/>
      <c r="AJ347" s="168"/>
      <c r="AK347" s="168"/>
      <c r="AL347" s="168"/>
      <c r="AM347" s="168"/>
      <c r="AN347" s="168"/>
      <c r="AO347" s="168"/>
      <c r="AP347" s="168"/>
      <c r="AQ347" s="168"/>
      <c r="AR347" s="168"/>
      <c r="AS347" s="168"/>
      <c r="AT347" s="168"/>
      <c r="AU347" s="168"/>
      <c r="AV347" s="168"/>
      <c r="AW347" s="168"/>
    </row>
    <row r="348" spans="1:49" x14ac:dyDescent="0.25">
      <c r="A348" s="168"/>
      <c r="B348" s="168"/>
      <c r="C348" s="168"/>
      <c r="D348" s="168"/>
      <c r="E348" s="168"/>
      <c r="F348" s="168"/>
      <c r="G348" s="168"/>
      <c r="H348" s="168"/>
      <c r="I348" s="168"/>
      <c r="J348" s="168"/>
      <c r="K348" s="168"/>
      <c r="L348" s="168"/>
      <c r="M348" s="168"/>
      <c r="N348" s="168"/>
      <c r="O348" s="168"/>
      <c r="P348" s="168"/>
      <c r="Q348" s="168"/>
      <c r="R348" s="168"/>
      <c r="S348" s="168"/>
      <c r="T348" s="168"/>
      <c r="U348" s="168"/>
      <c r="V348" s="168"/>
      <c r="W348" s="168"/>
      <c r="X348" s="168"/>
      <c r="Y348" s="168"/>
      <c r="Z348" s="168"/>
      <c r="AA348" s="168"/>
      <c r="AB348" s="168"/>
      <c r="AC348" s="168"/>
      <c r="AD348" s="168"/>
      <c r="AE348" s="168"/>
      <c r="AF348" s="168"/>
      <c r="AG348" s="168"/>
      <c r="AH348" s="168"/>
      <c r="AI348" s="168"/>
      <c r="AJ348" s="168"/>
      <c r="AK348" s="168"/>
      <c r="AL348" s="168"/>
      <c r="AM348" s="168"/>
      <c r="AN348" s="168"/>
      <c r="AO348" s="168"/>
      <c r="AP348" s="168"/>
      <c r="AQ348" s="168"/>
      <c r="AR348" s="168"/>
      <c r="AS348" s="168"/>
      <c r="AT348" s="168"/>
      <c r="AU348" s="168"/>
      <c r="AV348" s="168"/>
      <c r="AW348" s="168"/>
    </row>
    <row r="349" spans="1:49" x14ac:dyDescent="0.25">
      <c r="A349" s="168"/>
      <c r="B349" s="168"/>
      <c r="C349" s="168"/>
      <c r="D349" s="168"/>
      <c r="E349" s="168"/>
      <c r="F349" s="168"/>
      <c r="G349" s="168"/>
      <c r="H349" s="168"/>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8"/>
      <c r="AL349" s="168"/>
      <c r="AM349" s="168"/>
      <c r="AN349" s="168"/>
      <c r="AO349" s="168"/>
      <c r="AP349" s="168"/>
      <c r="AQ349" s="168"/>
      <c r="AR349" s="168"/>
      <c r="AS349" s="168"/>
      <c r="AT349" s="168"/>
      <c r="AU349" s="168"/>
      <c r="AV349" s="168"/>
      <c r="AW349" s="168"/>
    </row>
    <row r="350" spans="1:49" x14ac:dyDescent="0.25">
      <c r="A350" s="168"/>
      <c r="B350" s="168"/>
      <c r="C350" s="168"/>
      <c r="D350" s="168"/>
      <c r="E350" s="168"/>
      <c r="F350" s="168"/>
      <c r="G350" s="168"/>
      <c r="H350" s="168"/>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8"/>
      <c r="AR350" s="168"/>
      <c r="AS350" s="168"/>
      <c r="AT350" s="168"/>
      <c r="AU350" s="168"/>
      <c r="AV350" s="168"/>
      <c r="AW350" s="168"/>
    </row>
    <row r="351" spans="1:49" x14ac:dyDescent="0.25">
      <c r="A351" s="168"/>
      <c r="B351" s="168"/>
      <c r="C351" s="168"/>
      <c r="D351" s="168"/>
      <c r="E351" s="168"/>
      <c r="F351" s="168"/>
      <c r="G351" s="168"/>
      <c r="H351" s="168"/>
      <c r="I351" s="168"/>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8"/>
      <c r="AR351" s="168"/>
      <c r="AS351" s="168"/>
      <c r="AT351" s="168"/>
      <c r="AU351" s="168"/>
      <c r="AV351" s="168"/>
      <c r="AW351" s="168"/>
    </row>
    <row r="352" spans="1:49" x14ac:dyDescent="0.25">
      <c r="A352" s="168"/>
      <c r="B352" s="168"/>
      <c r="C352" s="168"/>
      <c r="D352" s="168"/>
      <c r="E352" s="168"/>
      <c r="F352" s="168"/>
      <c r="G352" s="168"/>
      <c r="H352" s="168"/>
      <c r="I352" s="168"/>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8"/>
      <c r="AL352" s="168"/>
      <c r="AM352" s="168"/>
      <c r="AN352" s="168"/>
      <c r="AO352" s="168"/>
      <c r="AP352" s="168"/>
      <c r="AQ352" s="168"/>
      <c r="AR352" s="168"/>
      <c r="AS352" s="168"/>
      <c r="AT352" s="168"/>
      <c r="AU352" s="168"/>
      <c r="AV352" s="168"/>
      <c r="AW352" s="168"/>
    </row>
    <row r="353" spans="1:49" x14ac:dyDescent="0.25">
      <c r="A353" s="168"/>
      <c r="B353" s="168"/>
      <c r="C353" s="168"/>
      <c r="D353" s="168"/>
      <c r="E353" s="168"/>
      <c r="F353" s="168"/>
      <c r="G353" s="168"/>
      <c r="H353" s="168"/>
      <c r="I353" s="168"/>
      <c r="J353" s="168"/>
      <c r="K353" s="168"/>
      <c r="L353" s="168"/>
      <c r="M353" s="168"/>
      <c r="N353" s="168"/>
      <c r="O353" s="168"/>
      <c r="P353" s="168"/>
      <c r="Q353" s="168"/>
      <c r="R353" s="168"/>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8"/>
      <c r="AR353" s="168"/>
      <c r="AS353" s="168"/>
      <c r="AT353" s="168"/>
      <c r="AU353" s="168"/>
      <c r="AV353" s="168"/>
      <c r="AW353" s="168"/>
    </row>
    <row r="354" spans="1:49" x14ac:dyDescent="0.25">
      <c r="A354" s="168"/>
      <c r="B354" s="168"/>
      <c r="C354" s="168"/>
      <c r="D354" s="168"/>
      <c r="E354" s="168"/>
      <c r="F354" s="168"/>
      <c r="G354" s="168"/>
      <c r="H354" s="168"/>
      <c r="I354" s="168"/>
      <c r="J354" s="168"/>
      <c r="K354" s="168"/>
      <c r="L354" s="168"/>
      <c r="M354" s="168"/>
      <c r="N354" s="168"/>
      <c r="O354" s="168"/>
      <c r="P354" s="168"/>
      <c r="Q354" s="168"/>
      <c r="R354" s="168"/>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8"/>
      <c r="AR354" s="168"/>
      <c r="AS354" s="168"/>
      <c r="AT354" s="168"/>
      <c r="AU354" s="168"/>
      <c r="AV354" s="168"/>
      <c r="AW354" s="168"/>
    </row>
    <row r="355" spans="1:49" x14ac:dyDescent="0.25">
      <c r="A355" s="168"/>
      <c r="B355" s="168"/>
      <c r="C355" s="168"/>
      <c r="D355" s="168"/>
      <c r="E355" s="168"/>
      <c r="F355" s="168"/>
      <c r="G355" s="168"/>
      <c r="H355" s="168"/>
      <c r="I355" s="168"/>
      <c r="J355" s="168"/>
      <c r="K355" s="168"/>
      <c r="L355" s="168"/>
      <c r="M355" s="168"/>
      <c r="N355" s="168"/>
      <c r="O355" s="168"/>
      <c r="P355" s="168"/>
      <c r="Q355" s="168"/>
      <c r="R355" s="168"/>
      <c r="S355" s="168"/>
      <c r="T355" s="168"/>
      <c r="U355" s="168"/>
      <c r="V355" s="168"/>
      <c r="W355" s="168"/>
      <c r="X355" s="168"/>
      <c r="Y355" s="168"/>
      <c r="Z355" s="168"/>
      <c r="AA355" s="168"/>
      <c r="AB355" s="168"/>
      <c r="AC355" s="168"/>
      <c r="AD355" s="168"/>
      <c r="AE355" s="168"/>
      <c r="AF355" s="168"/>
      <c r="AG355" s="168"/>
      <c r="AH355" s="168"/>
      <c r="AI355" s="168"/>
      <c r="AJ355" s="168"/>
      <c r="AK355" s="168"/>
      <c r="AL355" s="168"/>
      <c r="AM355" s="168"/>
      <c r="AN355" s="168"/>
      <c r="AO355" s="168"/>
      <c r="AP355" s="168"/>
      <c r="AQ355" s="168"/>
      <c r="AR355" s="168"/>
      <c r="AS355" s="168"/>
      <c r="AT355" s="168"/>
      <c r="AU355" s="168"/>
      <c r="AV355" s="168"/>
      <c r="AW355" s="168"/>
    </row>
    <row r="356" spans="1:49" x14ac:dyDescent="0.25">
      <c r="A356" s="168"/>
      <c r="B356" s="168"/>
      <c r="C356" s="168"/>
      <c r="D356" s="168"/>
      <c r="E356" s="168"/>
      <c r="F356" s="168"/>
      <c r="G356" s="168"/>
      <c r="H356" s="168"/>
      <c r="I356" s="168"/>
      <c r="J356" s="168"/>
      <c r="K356" s="168"/>
      <c r="L356" s="168"/>
      <c r="M356" s="168"/>
      <c r="N356" s="168"/>
      <c r="O356" s="168"/>
      <c r="P356" s="168"/>
      <c r="Q356" s="168"/>
      <c r="R356" s="168"/>
      <c r="S356" s="168"/>
      <c r="T356" s="168"/>
      <c r="U356" s="168"/>
      <c r="V356" s="168"/>
      <c r="W356" s="168"/>
      <c r="X356" s="168"/>
      <c r="Y356" s="168"/>
      <c r="Z356" s="168"/>
      <c r="AA356" s="168"/>
      <c r="AB356" s="168"/>
      <c r="AC356" s="168"/>
      <c r="AD356" s="168"/>
      <c r="AE356" s="168"/>
      <c r="AF356" s="168"/>
      <c r="AG356" s="168"/>
      <c r="AH356" s="168"/>
      <c r="AI356" s="168"/>
      <c r="AJ356" s="168"/>
      <c r="AK356" s="168"/>
      <c r="AL356" s="168"/>
      <c r="AM356" s="168"/>
      <c r="AN356" s="168"/>
      <c r="AO356" s="168"/>
      <c r="AP356" s="168"/>
      <c r="AQ356" s="168"/>
      <c r="AR356" s="168"/>
      <c r="AS356" s="168"/>
      <c r="AT356" s="168"/>
      <c r="AU356" s="168"/>
      <c r="AV356" s="168"/>
      <c r="AW356" s="168"/>
    </row>
    <row r="357" spans="1:49" x14ac:dyDescent="0.25">
      <c r="A357" s="168"/>
      <c r="B357" s="168"/>
      <c r="C357" s="168"/>
      <c r="D357" s="168"/>
      <c r="E357" s="168"/>
      <c r="F357" s="168"/>
      <c r="G357" s="168"/>
      <c r="H357" s="168"/>
      <c r="I357" s="168"/>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8"/>
      <c r="AL357" s="168"/>
      <c r="AM357" s="168"/>
      <c r="AN357" s="168"/>
      <c r="AO357" s="168"/>
      <c r="AP357" s="168"/>
      <c r="AQ357" s="168"/>
      <c r="AR357" s="168"/>
      <c r="AS357" s="168"/>
      <c r="AT357" s="168"/>
      <c r="AU357" s="168"/>
      <c r="AV357" s="168"/>
      <c r="AW357" s="168"/>
    </row>
    <row r="358" spans="1:49" x14ac:dyDescent="0.25">
      <c r="A358" s="168"/>
      <c r="B358" s="168"/>
      <c r="C358" s="168"/>
      <c r="D358" s="168"/>
      <c r="E358" s="168"/>
      <c r="F358" s="168"/>
      <c r="G358" s="168"/>
      <c r="H358" s="168"/>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8"/>
      <c r="AL358" s="168"/>
      <c r="AM358" s="168"/>
      <c r="AN358" s="168"/>
      <c r="AO358" s="168"/>
      <c r="AP358" s="168"/>
      <c r="AQ358" s="168"/>
      <c r="AR358" s="168"/>
      <c r="AS358" s="168"/>
      <c r="AT358" s="168"/>
      <c r="AU358" s="168"/>
      <c r="AV358" s="168"/>
      <c r="AW358" s="168"/>
    </row>
    <row r="359" spans="1:49" x14ac:dyDescent="0.25">
      <c r="A359" s="168"/>
      <c r="B359" s="168"/>
      <c r="C359" s="168"/>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8"/>
      <c r="AR359" s="168"/>
      <c r="AS359" s="168"/>
      <c r="AT359" s="168"/>
      <c r="AU359" s="168"/>
      <c r="AV359" s="168"/>
      <c r="AW359" s="168"/>
    </row>
    <row r="360" spans="1:49" x14ac:dyDescent="0.25">
      <c r="A360" s="168"/>
      <c r="B360" s="168"/>
      <c r="C360" s="168"/>
      <c r="D360" s="168"/>
      <c r="E360" s="168"/>
      <c r="F360" s="168"/>
      <c r="G360" s="168"/>
      <c r="H360" s="168"/>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8"/>
      <c r="AR360" s="168"/>
      <c r="AS360" s="168"/>
      <c r="AT360" s="168"/>
      <c r="AU360" s="168"/>
      <c r="AV360" s="168"/>
      <c r="AW360" s="168"/>
    </row>
    <row r="361" spans="1:49" x14ac:dyDescent="0.25">
      <c r="A361" s="168"/>
      <c r="B361" s="168"/>
      <c r="C361" s="168"/>
      <c r="D361" s="168"/>
      <c r="E361" s="168"/>
      <c r="F361" s="168"/>
      <c r="G361" s="168"/>
      <c r="H361" s="168"/>
      <c r="I361" s="168"/>
      <c r="J361" s="168"/>
      <c r="K361" s="168"/>
      <c r="L361" s="168"/>
      <c r="M361" s="168"/>
      <c r="N361" s="168"/>
      <c r="O361" s="168"/>
      <c r="P361" s="168"/>
      <c r="Q361" s="168"/>
      <c r="R361" s="168"/>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8"/>
      <c r="AR361" s="168"/>
      <c r="AS361" s="168"/>
      <c r="AT361" s="168"/>
      <c r="AU361" s="168"/>
      <c r="AV361" s="168"/>
      <c r="AW361" s="168"/>
    </row>
    <row r="362" spans="1:49" x14ac:dyDescent="0.25">
      <c r="A362" s="168"/>
      <c r="B362" s="168"/>
      <c r="C362" s="168"/>
      <c r="D362" s="168"/>
      <c r="E362" s="168"/>
      <c r="F362" s="168"/>
      <c r="G362" s="168"/>
      <c r="H362" s="168"/>
      <c r="I362" s="168"/>
      <c r="J362" s="168"/>
      <c r="K362" s="168"/>
      <c r="L362" s="168"/>
      <c r="M362" s="168"/>
      <c r="N362" s="168"/>
      <c r="O362" s="168"/>
      <c r="P362" s="168"/>
      <c r="Q362" s="168"/>
      <c r="R362" s="168"/>
      <c r="S362" s="168"/>
      <c r="T362" s="168"/>
      <c r="U362" s="168"/>
      <c r="V362" s="168"/>
      <c r="W362" s="168"/>
      <c r="X362" s="168"/>
      <c r="Y362" s="168"/>
      <c r="Z362" s="168"/>
      <c r="AA362" s="168"/>
      <c r="AB362" s="168"/>
      <c r="AC362" s="168"/>
      <c r="AD362" s="168"/>
      <c r="AE362" s="168"/>
      <c r="AF362" s="168"/>
      <c r="AG362" s="168"/>
      <c r="AH362" s="168"/>
      <c r="AI362" s="168"/>
      <c r="AJ362" s="168"/>
      <c r="AK362" s="168"/>
      <c r="AL362" s="168"/>
      <c r="AM362" s="168"/>
      <c r="AN362" s="168"/>
      <c r="AO362" s="168"/>
      <c r="AP362" s="168"/>
      <c r="AQ362" s="168"/>
      <c r="AR362" s="168"/>
      <c r="AS362" s="168"/>
      <c r="AT362" s="168"/>
      <c r="AU362" s="168"/>
      <c r="AV362" s="168"/>
      <c r="AW362" s="168"/>
    </row>
    <row r="363" spans="1:49" x14ac:dyDescent="0.25">
      <c r="A363" s="168"/>
      <c r="B363" s="168"/>
      <c r="C363" s="168"/>
      <c r="D363" s="168"/>
      <c r="E363" s="168"/>
      <c r="F363" s="168"/>
      <c r="G363" s="168"/>
      <c r="H363" s="168"/>
      <c r="I363" s="168"/>
      <c r="J363" s="168"/>
      <c r="K363" s="168"/>
      <c r="L363" s="168"/>
      <c r="M363" s="168"/>
      <c r="N363" s="168"/>
      <c r="O363" s="168"/>
      <c r="P363" s="168"/>
      <c r="Q363" s="168"/>
      <c r="R363" s="168"/>
      <c r="S363" s="168"/>
      <c r="T363" s="168"/>
      <c r="U363" s="168"/>
      <c r="V363" s="168"/>
      <c r="W363" s="168"/>
      <c r="X363" s="168"/>
      <c r="Y363" s="168"/>
      <c r="Z363" s="168"/>
      <c r="AA363" s="168"/>
      <c r="AB363" s="168"/>
      <c r="AC363" s="168"/>
      <c r="AD363" s="168"/>
      <c r="AE363" s="168"/>
      <c r="AF363" s="168"/>
      <c r="AG363" s="168"/>
      <c r="AH363" s="168"/>
      <c r="AI363" s="168"/>
      <c r="AJ363" s="168"/>
      <c r="AK363" s="168"/>
      <c r="AL363" s="168"/>
      <c r="AM363" s="168"/>
      <c r="AN363" s="168"/>
      <c r="AO363" s="168"/>
      <c r="AP363" s="168"/>
      <c r="AQ363" s="168"/>
      <c r="AR363" s="168"/>
      <c r="AS363" s="168"/>
      <c r="AT363" s="168"/>
      <c r="AU363" s="168"/>
      <c r="AV363" s="168"/>
      <c r="AW363" s="168"/>
    </row>
    <row r="364" spans="1:49" x14ac:dyDescent="0.25">
      <c r="A364" s="168"/>
      <c r="B364" s="168"/>
      <c r="C364" s="168"/>
      <c r="D364" s="168"/>
      <c r="E364" s="168"/>
      <c r="F364" s="168"/>
      <c r="G364" s="168"/>
      <c r="H364" s="168"/>
      <c r="I364" s="168"/>
      <c r="J364" s="168"/>
      <c r="K364" s="168"/>
      <c r="L364" s="168"/>
      <c r="M364" s="168"/>
      <c r="N364" s="168"/>
      <c r="O364" s="168"/>
      <c r="P364" s="168"/>
      <c r="Q364" s="168"/>
      <c r="R364" s="168"/>
      <c r="S364" s="168"/>
      <c r="T364" s="168"/>
      <c r="U364" s="168"/>
      <c r="V364" s="168"/>
      <c r="W364" s="168"/>
      <c r="X364" s="168"/>
      <c r="Y364" s="168"/>
      <c r="Z364" s="168"/>
      <c r="AA364" s="168"/>
      <c r="AB364" s="168"/>
      <c r="AC364" s="168"/>
      <c r="AD364" s="168"/>
      <c r="AE364" s="168"/>
      <c r="AF364" s="168"/>
      <c r="AG364" s="168"/>
      <c r="AH364" s="168"/>
      <c r="AI364" s="168"/>
      <c r="AJ364" s="168"/>
      <c r="AK364" s="168"/>
      <c r="AL364" s="168"/>
      <c r="AM364" s="168"/>
      <c r="AN364" s="168"/>
      <c r="AO364" s="168"/>
      <c r="AP364" s="168"/>
      <c r="AQ364" s="168"/>
      <c r="AR364" s="168"/>
      <c r="AS364" s="168"/>
      <c r="AT364" s="168"/>
      <c r="AU364" s="168"/>
      <c r="AV364" s="168"/>
      <c r="AW364" s="168"/>
    </row>
    <row r="365" spans="1:49" x14ac:dyDescent="0.25">
      <c r="A365" s="168"/>
      <c r="B365" s="168"/>
      <c r="C365" s="168"/>
      <c r="D365" s="168"/>
      <c r="E365" s="168"/>
      <c r="F365" s="168"/>
      <c r="G365" s="168"/>
      <c r="H365" s="168"/>
      <c r="I365" s="168"/>
      <c r="J365" s="168"/>
      <c r="K365" s="168"/>
      <c r="L365" s="168"/>
      <c r="M365" s="168"/>
      <c r="N365" s="168"/>
      <c r="O365" s="168"/>
      <c r="P365" s="168"/>
      <c r="Q365" s="168"/>
      <c r="R365" s="168"/>
      <c r="S365" s="168"/>
      <c r="T365" s="168"/>
      <c r="U365" s="168"/>
      <c r="V365" s="168"/>
      <c r="W365" s="168"/>
      <c r="X365" s="168"/>
      <c r="Y365" s="168"/>
      <c r="Z365" s="168"/>
      <c r="AA365" s="168"/>
      <c r="AB365" s="168"/>
      <c r="AC365" s="168"/>
      <c r="AD365" s="168"/>
      <c r="AE365" s="168"/>
      <c r="AF365" s="168"/>
      <c r="AG365" s="168"/>
      <c r="AH365" s="168"/>
      <c r="AI365" s="168"/>
      <c r="AJ365" s="168"/>
      <c r="AK365" s="168"/>
      <c r="AL365" s="168"/>
      <c r="AM365" s="168"/>
      <c r="AN365" s="168"/>
      <c r="AO365" s="168"/>
      <c r="AP365" s="168"/>
      <c r="AQ365" s="168"/>
      <c r="AR365" s="168"/>
      <c r="AS365" s="168"/>
      <c r="AT365" s="168"/>
      <c r="AU365" s="168"/>
      <c r="AV365" s="168"/>
      <c r="AW365" s="168"/>
    </row>
    <row r="366" spans="1:49" x14ac:dyDescent="0.25">
      <c r="A366" s="168"/>
      <c r="B366" s="168"/>
      <c r="C366" s="168"/>
      <c r="D366" s="168"/>
      <c r="E366" s="168"/>
      <c r="F366" s="168"/>
      <c r="G366" s="168"/>
      <c r="H366" s="168"/>
      <c r="I366" s="168"/>
      <c r="J366" s="168"/>
      <c r="K366" s="168"/>
      <c r="L366" s="168"/>
      <c r="M366" s="168"/>
      <c r="N366" s="168"/>
      <c r="O366" s="168"/>
      <c r="P366" s="168"/>
      <c r="Q366" s="168"/>
      <c r="R366" s="168"/>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68"/>
      <c r="AP366" s="168"/>
      <c r="AQ366" s="168"/>
      <c r="AR366" s="168"/>
      <c r="AS366" s="168"/>
      <c r="AT366" s="168"/>
      <c r="AU366" s="168"/>
      <c r="AV366" s="168"/>
      <c r="AW366" s="168"/>
    </row>
    <row r="367" spans="1:49" x14ac:dyDescent="0.25">
      <c r="A367" s="168"/>
      <c r="B367" s="168"/>
      <c r="C367" s="168"/>
      <c r="D367" s="168"/>
      <c r="E367" s="168"/>
      <c r="F367" s="168"/>
      <c r="G367" s="168"/>
      <c r="H367" s="168"/>
      <c r="I367" s="168"/>
      <c r="J367" s="168"/>
      <c r="K367" s="168"/>
      <c r="L367" s="168"/>
      <c r="M367" s="168"/>
      <c r="N367" s="168"/>
      <c r="O367" s="168"/>
      <c r="P367" s="168"/>
      <c r="Q367" s="168"/>
      <c r="R367" s="168"/>
      <c r="S367" s="168"/>
      <c r="T367" s="168"/>
      <c r="U367" s="168"/>
      <c r="V367" s="168"/>
      <c r="W367" s="168"/>
      <c r="X367" s="168"/>
      <c r="Y367" s="168"/>
      <c r="Z367" s="168"/>
      <c r="AA367" s="168"/>
      <c r="AB367" s="168"/>
      <c r="AC367" s="168"/>
      <c r="AD367" s="168"/>
      <c r="AE367" s="168"/>
      <c r="AF367" s="168"/>
      <c r="AG367" s="168"/>
      <c r="AH367" s="168"/>
      <c r="AI367" s="168"/>
      <c r="AJ367" s="168"/>
      <c r="AK367" s="168"/>
      <c r="AL367" s="168"/>
      <c r="AM367" s="168"/>
      <c r="AN367" s="168"/>
      <c r="AO367" s="168"/>
      <c r="AP367" s="168"/>
      <c r="AQ367" s="168"/>
      <c r="AR367" s="168"/>
      <c r="AS367" s="168"/>
      <c r="AT367" s="168"/>
      <c r="AU367" s="168"/>
      <c r="AV367" s="168"/>
      <c r="AW367" s="168"/>
    </row>
    <row r="368" spans="1:49" x14ac:dyDescent="0.25">
      <c r="A368" s="168"/>
      <c r="B368" s="168"/>
      <c r="C368" s="168"/>
      <c r="D368" s="168"/>
      <c r="E368" s="168"/>
      <c r="F368" s="168"/>
      <c r="G368" s="168"/>
      <c r="H368" s="168"/>
      <c r="I368" s="168"/>
      <c r="J368" s="168"/>
      <c r="K368" s="168"/>
      <c r="L368" s="168"/>
      <c r="M368" s="168"/>
      <c r="N368" s="168"/>
      <c r="O368" s="168"/>
      <c r="P368" s="168"/>
      <c r="Q368" s="168"/>
      <c r="R368" s="168"/>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8"/>
      <c r="AR368" s="168"/>
      <c r="AS368" s="168"/>
      <c r="AT368" s="168"/>
      <c r="AU368" s="168"/>
      <c r="AV368" s="168"/>
      <c r="AW368" s="168"/>
    </row>
    <row r="369" spans="1:49" x14ac:dyDescent="0.25">
      <c r="A369" s="168"/>
      <c r="B369" s="168"/>
      <c r="C369" s="168"/>
      <c r="D369" s="168"/>
      <c r="E369" s="168"/>
      <c r="F369" s="168"/>
      <c r="G369" s="168"/>
      <c r="H369" s="168"/>
      <c r="I369" s="168"/>
      <c r="J369" s="168"/>
      <c r="K369" s="168"/>
      <c r="L369" s="168"/>
      <c r="M369" s="168"/>
      <c r="N369" s="168"/>
      <c r="O369" s="168"/>
      <c r="P369" s="168"/>
      <c r="Q369" s="168"/>
      <c r="R369" s="168"/>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8"/>
      <c r="AR369" s="168"/>
      <c r="AS369" s="168"/>
      <c r="AT369" s="168"/>
      <c r="AU369" s="168"/>
      <c r="AV369" s="168"/>
      <c r="AW369" s="168"/>
    </row>
    <row r="370" spans="1:49" x14ac:dyDescent="0.25">
      <c r="A370" s="168"/>
      <c r="B370" s="168"/>
      <c r="C370" s="168"/>
      <c r="D370" s="168"/>
      <c r="E370" s="168"/>
      <c r="F370" s="168"/>
      <c r="G370" s="168"/>
      <c r="H370" s="168"/>
      <c r="I370" s="168"/>
      <c r="J370" s="168"/>
      <c r="K370" s="168"/>
      <c r="L370" s="168"/>
      <c r="M370" s="168"/>
      <c r="N370" s="168"/>
      <c r="O370" s="168"/>
      <c r="P370" s="168"/>
      <c r="Q370" s="168"/>
      <c r="R370" s="168"/>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68"/>
      <c r="AP370" s="168"/>
      <c r="AQ370" s="168"/>
      <c r="AR370" s="168"/>
      <c r="AS370" s="168"/>
      <c r="AT370" s="168"/>
      <c r="AU370" s="168"/>
      <c r="AV370" s="168"/>
      <c r="AW370" s="168"/>
    </row>
    <row r="371" spans="1:49" x14ac:dyDescent="0.25">
      <c r="A371" s="168"/>
      <c r="B371" s="168"/>
      <c r="C371" s="168"/>
      <c r="D371" s="168"/>
      <c r="E371" s="168"/>
      <c r="F371" s="168"/>
      <c r="G371" s="168"/>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8"/>
      <c r="AR371" s="168"/>
      <c r="AS371" s="168"/>
      <c r="AT371" s="168"/>
      <c r="AU371" s="168"/>
      <c r="AV371" s="168"/>
      <c r="AW371" s="168"/>
    </row>
    <row r="372" spans="1:49" x14ac:dyDescent="0.25">
      <c r="A372" s="168"/>
      <c r="B372" s="168"/>
      <c r="C372" s="168"/>
      <c r="D372" s="168"/>
      <c r="E372" s="168"/>
      <c r="F372" s="168"/>
      <c r="G372" s="168"/>
      <c r="H372" s="168"/>
      <c r="I372" s="168"/>
      <c r="J372" s="168"/>
      <c r="K372" s="168"/>
      <c r="L372" s="168"/>
      <c r="M372" s="168"/>
      <c r="N372" s="168"/>
      <c r="O372" s="168"/>
      <c r="P372" s="168"/>
      <c r="Q372" s="168"/>
      <c r="R372" s="168"/>
      <c r="S372" s="168"/>
      <c r="T372" s="168"/>
      <c r="U372" s="168"/>
      <c r="V372" s="168"/>
      <c r="W372" s="168"/>
      <c r="X372" s="168"/>
      <c r="Y372" s="168"/>
      <c r="Z372" s="168"/>
      <c r="AA372" s="168"/>
      <c r="AB372" s="168"/>
      <c r="AC372" s="168"/>
      <c r="AD372" s="168"/>
      <c r="AE372" s="168"/>
      <c r="AF372" s="168"/>
      <c r="AG372" s="168"/>
      <c r="AH372" s="168"/>
      <c r="AI372" s="168"/>
      <c r="AJ372" s="168"/>
      <c r="AK372" s="168"/>
      <c r="AL372" s="168"/>
      <c r="AM372" s="168"/>
      <c r="AN372" s="168"/>
      <c r="AO372" s="168"/>
      <c r="AP372" s="168"/>
      <c r="AQ372" s="168"/>
      <c r="AR372" s="168"/>
      <c r="AS372" s="168"/>
      <c r="AT372" s="168"/>
      <c r="AU372" s="168"/>
      <c r="AV372" s="168"/>
      <c r="AW372" s="168"/>
    </row>
    <row r="373" spans="1:49" x14ac:dyDescent="0.25">
      <c r="A373" s="168"/>
      <c r="B373" s="168"/>
      <c r="C373" s="168"/>
      <c r="D373" s="168"/>
      <c r="E373" s="168"/>
      <c r="F373" s="168"/>
      <c r="G373" s="168"/>
      <c r="H373" s="168"/>
      <c r="I373" s="168"/>
      <c r="J373" s="168"/>
      <c r="K373" s="168"/>
      <c r="L373" s="168"/>
      <c r="M373" s="168"/>
      <c r="N373" s="168"/>
      <c r="O373" s="168"/>
      <c r="P373" s="168"/>
      <c r="Q373" s="168"/>
      <c r="R373" s="168"/>
      <c r="S373" s="168"/>
      <c r="T373" s="168"/>
      <c r="U373" s="168"/>
      <c r="V373" s="168"/>
      <c r="W373" s="168"/>
      <c r="X373" s="168"/>
      <c r="Y373" s="168"/>
      <c r="Z373" s="168"/>
      <c r="AA373" s="168"/>
      <c r="AB373" s="168"/>
      <c r="AC373" s="168"/>
      <c r="AD373" s="168"/>
      <c r="AE373" s="168"/>
      <c r="AF373" s="168"/>
      <c r="AG373" s="168"/>
      <c r="AH373" s="168"/>
      <c r="AI373" s="168"/>
      <c r="AJ373" s="168"/>
      <c r="AK373" s="168"/>
      <c r="AL373" s="168"/>
      <c r="AM373" s="168"/>
      <c r="AN373" s="168"/>
      <c r="AO373" s="168"/>
      <c r="AP373" s="168"/>
      <c r="AQ373" s="168"/>
      <c r="AR373" s="168"/>
      <c r="AS373" s="168"/>
      <c r="AT373" s="168"/>
      <c r="AU373" s="168"/>
      <c r="AV373" s="168"/>
      <c r="AW373" s="168"/>
    </row>
    <row r="374" spans="1:49" x14ac:dyDescent="0.25">
      <c r="A374" s="168"/>
      <c r="B374" s="168"/>
      <c r="C374" s="168"/>
      <c r="D374" s="168"/>
      <c r="E374" s="168"/>
      <c r="F374" s="168"/>
      <c r="G374" s="168"/>
      <c r="H374" s="168"/>
      <c r="I374" s="168"/>
      <c r="J374" s="168"/>
      <c r="K374" s="168"/>
      <c r="L374" s="168"/>
      <c r="M374" s="168"/>
      <c r="N374" s="168"/>
      <c r="O374" s="168"/>
      <c r="P374" s="168"/>
      <c r="Q374" s="168"/>
      <c r="R374" s="168"/>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68"/>
      <c r="AP374" s="168"/>
      <c r="AQ374" s="168"/>
      <c r="AR374" s="168"/>
      <c r="AS374" s="168"/>
      <c r="AT374" s="168"/>
      <c r="AU374" s="168"/>
      <c r="AV374" s="168"/>
      <c r="AW374" s="168"/>
    </row>
    <row r="375" spans="1:49" x14ac:dyDescent="0.25">
      <c r="A375" s="168"/>
      <c r="B375" s="168"/>
      <c r="C375" s="168"/>
      <c r="D375" s="168"/>
      <c r="E375" s="168"/>
      <c r="F375" s="168"/>
      <c r="G375" s="168"/>
      <c r="H375" s="168"/>
      <c r="I375" s="168"/>
      <c r="J375" s="168"/>
      <c r="K375" s="168"/>
      <c r="L375" s="168"/>
      <c r="M375" s="168"/>
      <c r="N375" s="168"/>
      <c r="O375" s="168"/>
      <c r="P375" s="168"/>
      <c r="Q375" s="168"/>
      <c r="R375" s="168"/>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8"/>
      <c r="AR375" s="168"/>
      <c r="AS375" s="168"/>
      <c r="AT375" s="168"/>
      <c r="AU375" s="168"/>
      <c r="AV375" s="168"/>
      <c r="AW375" s="168"/>
    </row>
    <row r="376" spans="1:49" x14ac:dyDescent="0.25">
      <c r="A376" s="168"/>
      <c r="B376" s="168"/>
      <c r="C376" s="168"/>
      <c r="D376" s="168"/>
      <c r="E376" s="168"/>
      <c r="F376" s="168"/>
      <c r="G376" s="168"/>
      <c r="H376" s="168"/>
      <c r="I376" s="168"/>
      <c r="J376" s="168"/>
      <c r="K376" s="168"/>
      <c r="L376" s="168"/>
      <c r="M376" s="168"/>
      <c r="N376" s="168"/>
      <c r="O376" s="168"/>
      <c r="P376" s="168"/>
      <c r="Q376" s="168"/>
      <c r="R376" s="168"/>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8"/>
      <c r="AR376" s="168"/>
      <c r="AS376" s="168"/>
      <c r="AT376" s="168"/>
      <c r="AU376" s="168"/>
      <c r="AV376" s="168"/>
      <c r="AW376" s="168"/>
    </row>
    <row r="377" spans="1:49" x14ac:dyDescent="0.25">
      <c r="A377" s="168"/>
      <c r="B377" s="168"/>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row>
    <row r="378" spans="1:49" x14ac:dyDescent="0.25">
      <c r="A378" s="168"/>
      <c r="B378" s="168"/>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row>
    <row r="379" spans="1:49" x14ac:dyDescent="0.25">
      <c r="A379" s="168"/>
      <c r="B379" s="168"/>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row>
    <row r="380" spans="1:49" x14ac:dyDescent="0.25">
      <c r="A380" s="168"/>
      <c r="B380" s="168"/>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row>
    <row r="381" spans="1:49" x14ac:dyDescent="0.25">
      <c r="A381" s="154"/>
      <c r="B381" s="154"/>
      <c r="C381" s="154"/>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row>
    <row r="382" spans="1:49" x14ac:dyDescent="0.25">
      <c r="A382" s="154"/>
      <c r="B382" s="154"/>
      <c r="C382" s="154"/>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row>
    <row r="383" spans="1:49" x14ac:dyDescent="0.25">
      <c r="A383" s="154"/>
      <c r="B383" s="154"/>
      <c r="C383" s="154"/>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row>
    <row r="384" spans="1:49" x14ac:dyDescent="0.25">
      <c r="N384" s="154"/>
      <c r="O384" s="154"/>
      <c r="P384" s="154"/>
      <c r="W384" s="154"/>
      <c r="X384" s="154"/>
      <c r="Y384" s="154"/>
    </row>
    <row r="385" spans="14:14" x14ac:dyDescent="0.25">
      <c r="N385" s="154"/>
    </row>
  </sheetData>
  <sheetProtection algorithmName="SHA-512" hashValue="sMc0rdVM9rHcS8Rillg63wFtJJpeWg34/9JHD9LqJ9fqGRrYe1ws61oMKakxV4i/FQd5SxE6526IWpQ/8H4JGQ==" saltValue="R/gL21EC2aQN2EaCBAUKfw==" spinCount="100000" sheet="1" selectLockedCells="1" selectUnlockedCells="1"/>
  <mergeCells count="13">
    <mergeCell ref="N53:R53"/>
    <mergeCell ref="W53:X53"/>
    <mergeCell ref="AB2:AC2"/>
    <mergeCell ref="AL1:AM1"/>
    <mergeCell ref="AO1:AS1"/>
    <mergeCell ref="AB1:AE1"/>
    <mergeCell ref="AF1:AG1"/>
    <mergeCell ref="AI1:AJ1"/>
    <mergeCell ref="AL7:AM7"/>
    <mergeCell ref="W27:Y27"/>
    <mergeCell ref="N47:Q47"/>
    <mergeCell ref="AB18:AC18"/>
    <mergeCell ref="AB19:AC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111</vt:i4>
      </vt:variant>
    </vt:vector>
  </HeadingPairs>
  <TitlesOfParts>
    <vt:vector size="120" baseType="lpstr">
      <vt:lpstr>Instructions</vt:lpstr>
      <vt:lpstr>Character Sheet</vt:lpstr>
      <vt:lpstr>Worktable</vt:lpstr>
      <vt:lpstr>Skills Worktable</vt:lpstr>
      <vt:lpstr>Magic &amp; Psionics</vt:lpstr>
      <vt:lpstr>Combat Sheet</vt:lpstr>
      <vt:lpstr>Experience Chart</vt:lpstr>
      <vt:lpstr>Editor's Notes</vt:lpstr>
      <vt:lpstr>Combat</vt:lpstr>
      <vt:lpstr>archery</vt:lpstr>
      <vt:lpstr>armor_select</vt:lpstr>
      <vt:lpstr>battle_axe</vt:lpstr>
      <vt:lpstr>blunt</vt:lpstr>
      <vt:lpstr>calc_lev</vt:lpstr>
      <vt:lpstr>chain</vt:lpstr>
      <vt:lpstr>char_level</vt:lpstr>
      <vt:lpstr>char_xp</vt:lpstr>
      <vt:lpstr>crit</vt:lpstr>
      <vt:lpstr>db</vt:lpstr>
      <vt:lpstr>die_type</vt:lpstr>
      <vt:lpstr>excel_carry</vt:lpstr>
      <vt:lpstr>forked</vt:lpstr>
      <vt:lpstr>giant_throw</vt:lpstr>
      <vt:lpstr>hf</vt:lpstr>
      <vt:lpstr>hook</vt:lpstr>
      <vt:lpstr>hth</vt:lpstr>
      <vt:lpstr>hth_assassin</vt:lpstr>
      <vt:lpstr>hth_basic</vt:lpstr>
      <vt:lpstr>hth_bonus</vt:lpstr>
      <vt:lpstr>hth_expert</vt:lpstr>
      <vt:lpstr>hth_list</vt:lpstr>
      <vt:lpstr>hth_ma</vt:lpstr>
      <vt:lpstr>hth_none</vt:lpstr>
      <vt:lpstr>knife</vt:lpstr>
      <vt:lpstr>ko</vt:lpstr>
      <vt:lpstr>missile</vt:lpstr>
      <vt:lpstr>mouth</vt:lpstr>
      <vt:lpstr>nar</vt:lpstr>
      <vt:lpstr>net</vt:lpstr>
      <vt:lpstr>norm_punch</vt:lpstr>
      <vt:lpstr>norm_throw</vt:lpstr>
      <vt:lpstr>percent</vt:lpstr>
      <vt:lpstr>plus</vt:lpstr>
      <vt:lpstr>pole_arm</vt:lpstr>
      <vt:lpstr>pounds</vt:lpstr>
      <vt:lpstr>ps_giant</vt:lpstr>
      <vt:lpstr>ps_normal</vt:lpstr>
      <vt:lpstr>ps_supernatural</vt:lpstr>
      <vt:lpstr>ps_type</vt:lpstr>
      <vt:lpstr>save_coma</vt:lpstr>
      <vt:lpstr>save_control</vt:lpstr>
      <vt:lpstr>save_disease</vt:lpstr>
      <vt:lpstr>save_element</vt:lpstr>
      <vt:lpstr>save_f_mag</vt:lpstr>
      <vt:lpstr>save_faerie</vt:lpstr>
      <vt:lpstr>save_hf</vt:lpstr>
      <vt:lpstr>save_illusion</vt:lpstr>
      <vt:lpstr>save_insane</vt:lpstr>
      <vt:lpstr>save_magic</vt:lpstr>
      <vt:lpstr>save_poison</vt:lpstr>
      <vt:lpstr>save_possess</vt:lpstr>
      <vt:lpstr>save_psi</vt:lpstr>
      <vt:lpstr>shield</vt:lpstr>
      <vt:lpstr>sn_ps_punch</vt:lpstr>
      <vt:lpstr>sn_punch_chart</vt:lpstr>
      <vt:lpstr>spear</vt:lpstr>
      <vt:lpstr>staff</vt:lpstr>
      <vt:lpstr>super_throw</vt:lpstr>
      <vt:lpstr>sword</vt:lpstr>
      <vt:lpstr>total_attack</vt:lpstr>
      <vt:lpstr>total_attacks</vt:lpstr>
      <vt:lpstr>total_damage</vt:lpstr>
      <vt:lpstr>total_dodge</vt:lpstr>
      <vt:lpstr>total_hp</vt:lpstr>
      <vt:lpstr>total_init</vt:lpstr>
      <vt:lpstr>total_initiative</vt:lpstr>
      <vt:lpstr>total_iq</vt:lpstr>
      <vt:lpstr>total_isp</vt:lpstr>
      <vt:lpstr>total_ma</vt:lpstr>
      <vt:lpstr>total_me</vt:lpstr>
      <vt:lpstr>total_parry</vt:lpstr>
      <vt:lpstr>total_pb</vt:lpstr>
      <vt:lpstr>total_pe</vt:lpstr>
      <vt:lpstr>total_pp</vt:lpstr>
      <vt:lpstr>total_ppe</vt:lpstr>
      <vt:lpstr>total_ps</vt:lpstr>
      <vt:lpstr>total_pull</vt:lpstr>
      <vt:lpstr>total_roll</vt:lpstr>
      <vt:lpstr>total_sdc</vt:lpstr>
      <vt:lpstr>total_spd</vt:lpstr>
      <vt:lpstr>total_strike</vt:lpstr>
      <vt:lpstr>true_alt</vt:lpstr>
      <vt:lpstr>true_armor</vt:lpstr>
      <vt:lpstr>true_weapons</vt:lpstr>
      <vt:lpstr>true_wp</vt:lpstr>
      <vt:lpstr>unarmed_damage</vt:lpstr>
      <vt:lpstr>weapon_bonus</vt:lpstr>
      <vt:lpstr>weapon_ref</vt:lpstr>
      <vt:lpstr>whip</vt:lpstr>
      <vt:lpstr>wp_archery</vt:lpstr>
      <vt:lpstr>wp_axe</vt:lpstr>
      <vt:lpstr>wp_blunt</vt:lpstr>
      <vt:lpstr>wp_bonus</vt:lpstr>
      <vt:lpstr>wp_chain</vt:lpstr>
      <vt:lpstr>wp_forked</vt:lpstr>
      <vt:lpstr>wp_hook</vt:lpstr>
      <vt:lpstr>wp_knife</vt:lpstr>
      <vt:lpstr>wp_list</vt:lpstr>
      <vt:lpstr>wp_mouth</vt:lpstr>
      <vt:lpstr>wp_net</vt:lpstr>
      <vt:lpstr>wp_paired</vt:lpstr>
      <vt:lpstr>wp_pole</vt:lpstr>
      <vt:lpstr>wp_shield</vt:lpstr>
      <vt:lpstr>wp_siege</vt:lpstr>
      <vt:lpstr>wp_spear</vt:lpstr>
      <vt:lpstr>wp_staff</vt:lpstr>
      <vt:lpstr>wp_sword</vt:lpstr>
      <vt:lpstr>wp_target</vt:lpstr>
      <vt:lpstr>wp_whip</vt:lpstr>
      <vt:lpstr>xp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Prysus</dc:creator>
  <cp:keywords/>
  <dc:description/>
  <cp:lastModifiedBy>Prysus</cp:lastModifiedBy>
  <cp:revision/>
  <cp:lastPrinted>2018-09-28T18:23:37Z</cp:lastPrinted>
  <dcterms:created xsi:type="dcterms:W3CDTF">2017-12-31T17:29:49Z</dcterms:created>
  <dcterms:modified xsi:type="dcterms:W3CDTF">2018-11-25T23:55:51Z</dcterms:modified>
  <cp:category/>
  <cp:contentStatus/>
</cp:coreProperties>
</file>